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61" yWindow="420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<sst xmlns="http://schemas.openxmlformats.org/spreadsheetml/2006/main" count="166" uniqueCount="113">
  <si>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</si>
  <si>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</si>
  <si>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</si>
  <si>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</si>
  <si>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</si>
  <si>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</si>
  <si>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</si>
  <si>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</si>
  <si>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</si>
  <si>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</si>
  <si>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</si>
  <si>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</si>
  <si>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</si>
  <si>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</si>
  <si>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</si>
  <si>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</si>
  <si>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</si>
  <si>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</si>
  <si>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</si>
  <si>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</si>
  <si>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</si>
  <si>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</si>
  <si>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</si>
  <si>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</si>
  <si>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</si>
  <si>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</si>
  <si>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</si>
  <si>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</si>
  <si>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</si>
  <si>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</si>
  <si>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</si>
  <si>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</si>
  <si>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</si>
  <si>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</si>
  <si>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</si>
  <si>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</si>
  <si>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</si>
  <si>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</si>
  <si>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</si>
  <si>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</si>
  <si>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</si>
  <si>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</si>
  <si>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</si>
  <si>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</si>
  <si>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</si>
  <si>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</si>
  <si>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</si>
  <si>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</si>
  <si>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</si>
  <si>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</si>
  <si>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</si>
  <si>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</si>
  <si>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</si>
  <si>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</si>
  <si>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</si>
  <si>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</si>
  <si>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</si>
  <si>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</si>
  <si>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</si>
  <si>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</si>
  <si>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</si>
  <si>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</si>
  <si>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</si>
  <si>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</si>
  <si>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</si>
  <si>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</si>
  <si>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</si>
  <si>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</si>
  <si>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</si>
  <si>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</si>
  <si>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</si>
  <si>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</si>
  <si>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</si>
  <si>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</si>
  <si>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</si>
  <si>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</si>
  <si>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</si>
  <si>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</si>
  <si>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</si>
  <si>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</si>
  <si>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</si>
  <si>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</si>
  <si>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</si>
  <si>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</si>
  <si>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</si>
  <si>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</si>
  <si>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</si>
  <si>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</si>
  <si>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</si>
  <si>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</si>
  <si>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</si>
  <si>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</si>
  <si>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</si>
  <si>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</si>
  <si>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</si>
  <si>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</si>
  <si>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</si>
  <si>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</si>
  <si>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</si>
  <si>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</si>
  <si>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</si>
  <si>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</si>
  <si>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</si>
  <si>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</si>
  <si>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</si>
  <si>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</si>
  <si>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</si>
  <si>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</si>
  <si>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</si>
  <si>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</si>
  <si>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</si>
  <si>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</si>
  <si>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21.12.2018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</si>
</sst>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206969.80000000002</c:v>
                </c:pt>
                <c:pt idx="1">
                  <c:v>192650.9</c:v>
                </c:pt>
                <c:pt idx="2">
                  <c:v>2464.4</c:v>
                </c:pt>
                <c:pt idx="3">
                  <c:v>11854.500000000024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195980.20000000004</c:v>
                </c:pt>
                <c:pt idx="1">
                  <c:v>183853.91000000006</c:v>
                </c:pt>
                <c:pt idx="2">
                  <c:v>2090</c:v>
                </c:pt>
                <c:pt idx="3">
                  <c:v>10036.289999999979</c:v>
                </c:pt>
              </c:numCache>
            </c:numRef>
          </c:val>
          <c:shape val="box"/>
        </c:ser>
        <c:shape val="box"/>
        <c:axId val="4005221"/>
        <c:axId val="36046990"/>
      </c:bar3DChart>
      <c:cat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46990"/>
        <c:crosses val="autoZero"/>
        <c:auto val="1"/>
        <c:lblOffset val="100"/>
        <c:tickLblSkip val="1"/>
        <c:noMultiLvlLbl val="0"/>
      </c:catAx>
      <c:valAx>
        <c:axId val="3604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825669.5</c:v>
                </c:pt>
                <c:pt idx="1">
                  <c:v>262517.6</c:v>
                </c:pt>
                <c:pt idx="2">
                  <c:v>652056.2000000001</c:v>
                </c:pt>
                <c:pt idx="3">
                  <c:v>97.7</c:v>
                </c:pt>
                <c:pt idx="4">
                  <c:v>40926.8</c:v>
                </c:pt>
                <c:pt idx="5">
                  <c:v>88172.4</c:v>
                </c:pt>
                <c:pt idx="6">
                  <c:v>12738</c:v>
                </c:pt>
                <c:pt idx="7">
                  <c:v>31678.399999999936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754457.4</c:v>
                </c:pt>
                <c:pt idx="1">
                  <c:v>252014.19999999992</c:v>
                </c:pt>
                <c:pt idx="2">
                  <c:v>611181.3000000002</c:v>
                </c:pt>
                <c:pt idx="3">
                  <c:v>85.89999999999998</c:v>
                </c:pt>
                <c:pt idx="4">
                  <c:v>33995</c:v>
                </c:pt>
                <c:pt idx="5">
                  <c:v>75945.7</c:v>
                </c:pt>
                <c:pt idx="6">
                  <c:v>12083.099999999997</c:v>
                </c:pt>
                <c:pt idx="7">
                  <c:v>21166.39999999987</c:v>
                </c:pt>
              </c:numCache>
            </c:numRef>
          </c:val>
          <c:shape val="box"/>
        </c:ser>
        <c:shape val="box"/>
        <c:axId val="55987455"/>
        <c:axId val="34125048"/>
      </c:bar3DChart>
      <c:catAx>
        <c:axId val="559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25048"/>
        <c:crosses val="autoZero"/>
        <c:auto val="1"/>
        <c:lblOffset val="100"/>
        <c:tickLblSkip val="1"/>
        <c:noMultiLvlLbl val="0"/>
      </c:catAx>
      <c:valAx>
        <c:axId val="34125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7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407842.39999999997</c:v>
                </c:pt>
                <c:pt idx="1">
                  <c:v>227797.3</c:v>
                </c:pt>
                <c:pt idx="2">
                  <c:v>407842.39999999997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378832.99999999994</c:v>
                </c:pt>
                <c:pt idx="1">
                  <c:v>223830.49999999997</c:v>
                </c:pt>
                <c:pt idx="2">
                  <c:v>378832.99999999994</c:v>
                </c:pt>
              </c:numCache>
            </c:numRef>
          </c:val>
          <c:shape val="box"/>
        </c:ser>
        <c:shape val="box"/>
        <c:axId val="38689977"/>
        <c:axId val="12665474"/>
      </c:bar3D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65474"/>
        <c:crosses val="autoZero"/>
        <c:auto val="1"/>
        <c:lblOffset val="100"/>
        <c:tickLblSkip val="1"/>
        <c:noMultiLvlLbl val="0"/>
      </c:catAx>
      <c:valAx>
        <c:axId val="12665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9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23002.500000000007</c:v>
                </c:pt>
                <c:pt idx="1">
                  <c:v>11950.2</c:v>
                </c:pt>
                <c:pt idx="2">
                  <c:v>68.9</c:v>
                </c:pt>
                <c:pt idx="3">
                  <c:v>1346.8999999999999</c:v>
                </c:pt>
                <c:pt idx="4">
                  <c:v>842.6999999999998</c:v>
                </c:pt>
                <c:pt idx="5">
                  <c:v>89.5</c:v>
                </c:pt>
                <c:pt idx="6">
                  <c:v>8704.300000000008</c:v>
                </c:pt>
              </c:numCache>
            </c:numRef>
          </c:val>
          <c:shape val="box"/>
        </c:ser>
        <c:shape val="box"/>
        <c:axId val="46880403"/>
        <c:axId val="19270444"/>
      </c:bar3DChart>
      <c:catAx>
        <c:axId val="4688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70444"/>
        <c:crosses val="autoZero"/>
        <c:auto val="1"/>
        <c:lblOffset val="100"/>
        <c:tickLblSkip val="1"/>
        <c:noMultiLvlLbl val="0"/>
      </c:catAx>
      <c:valAx>
        <c:axId val="19270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37994.6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1114.8</c:v>
                </c:pt>
                <c:pt idx="4">
                  <c:v>1219.9</c:v>
                </c:pt>
                <c:pt idx="5">
                  <c:v>1320</c:v>
                </c:pt>
                <c:pt idx="6">
                  <c:v>14135.015649999996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32749.299999999992</c:v>
                </c:pt>
                <c:pt idx="1">
                  <c:v>19069.500000000004</c:v>
                </c:pt>
                <c:pt idx="2">
                  <c:v>14.599999999999998</c:v>
                </c:pt>
                <c:pt idx="3">
                  <c:v>922.2</c:v>
                </c:pt>
                <c:pt idx="4">
                  <c:v>703.2</c:v>
                </c:pt>
                <c:pt idx="5">
                  <c:v>1308</c:v>
                </c:pt>
                <c:pt idx="6">
                  <c:v>10731.799999999987</c:v>
                </c:pt>
              </c:numCache>
            </c:numRef>
          </c:val>
          <c:shape val="box"/>
        </c:ser>
        <c:shape val="box"/>
        <c:axId val="39216269"/>
        <c:axId val="17402102"/>
      </c:bar3D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02102"/>
        <c:crosses val="autoZero"/>
        <c:auto val="1"/>
        <c:lblOffset val="100"/>
        <c:tickLblSkip val="2"/>
        <c:noMultiLvlLbl val="0"/>
      </c:catAx>
      <c:valAx>
        <c:axId val="17402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6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8917.6</c:v>
                </c:pt>
                <c:pt idx="1">
                  <c:v>3133.7</c:v>
                </c:pt>
                <c:pt idx="2">
                  <c:v>393.09999999999997</c:v>
                </c:pt>
                <c:pt idx="3">
                  <c:v>379.7</c:v>
                </c:pt>
                <c:pt idx="4">
                  <c:v>4187.6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8031.9</c:v>
                </c:pt>
                <c:pt idx="1">
                  <c:v>2972.000000000001</c:v>
                </c:pt>
                <c:pt idx="2">
                  <c:v>391.1</c:v>
                </c:pt>
                <c:pt idx="3">
                  <c:v>363.69999999999993</c:v>
                </c:pt>
                <c:pt idx="4">
                  <c:v>3583.4</c:v>
                </c:pt>
                <c:pt idx="5">
                  <c:v>721.6999999999988</c:v>
                </c:pt>
              </c:numCache>
            </c:numRef>
          </c:val>
          <c:shape val="box"/>
        </c:ser>
        <c:shape val="box"/>
        <c:axId val="22401191"/>
        <c:axId val="284128"/>
      </c:bar3DChart>
      <c:catAx>
        <c:axId val="22401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83670.90000000001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42458.50000000001</c:v>
                </c:pt>
              </c:numCache>
            </c:numRef>
          </c:val>
          <c:shape val="box"/>
        </c:ser>
        <c:shape val="box"/>
        <c:axId val="2557153"/>
        <c:axId val="23014378"/>
      </c:bar3DChart>
      <c:cat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825669.5</c:v>
                </c:pt>
                <c:pt idx="1">
                  <c:v>407842.39999999997</c:v>
                </c:pt>
                <c:pt idx="2">
                  <c:v>24869.499999999996</c:v>
                </c:pt>
                <c:pt idx="3">
                  <c:v>37994.6</c:v>
                </c:pt>
                <c:pt idx="4">
                  <c:v>8917.6</c:v>
                </c:pt>
                <c:pt idx="5">
                  <c:v>206969.80000000002</c:v>
                </c:pt>
                <c:pt idx="6">
                  <c:v>83670.90000000001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754457.4</c:v>
                </c:pt>
                <c:pt idx="1">
                  <c:v>378832.99999999994</c:v>
                </c:pt>
                <c:pt idx="2">
                  <c:v>23002.500000000007</c:v>
                </c:pt>
                <c:pt idx="3">
                  <c:v>32749.299999999992</c:v>
                </c:pt>
                <c:pt idx="4">
                  <c:v>8031.9</c:v>
                </c:pt>
                <c:pt idx="5">
                  <c:v>195980.20000000004</c:v>
                </c:pt>
                <c:pt idx="6">
                  <c:v>42458.50000000001</c:v>
                </c:pt>
              </c:numCache>
            </c:numRef>
          </c:val>
          <c:shape val="box"/>
        </c:ser>
        <c:shape val="box"/>
        <c:axId val="5802811"/>
        <c:axId val="52225300"/>
      </c:bar3DChart>
      <c:cat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895443.4000000001</c:v>
                </c:pt>
                <c:pt idx="1">
                  <c:v>110092.19999999998</c:v>
                </c:pt>
                <c:pt idx="2">
                  <c:v>42614.700000000004</c:v>
                </c:pt>
                <c:pt idx="3">
                  <c:v>29134.999999999996</c:v>
                </c:pt>
                <c:pt idx="4">
                  <c:v>114.48435</c:v>
                </c:pt>
                <c:pt idx="5">
                  <c:v>1132333.5156499997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842706.31</c:v>
                </c:pt>
                <c:pt idx="1">
                  <c:v>94055.59999999999</c:v>
                </c:pt>
                <c:pt idx="2">
                  <c:v>35446.2</c:v>
                </c:pt>
                <c:pt idx="3">
                  <c:v>26848.199999999997</c:v>
                </c:pt>
                <c:pt idx="4">
                  <c:v>101.89999999999998</c:v>
                </c:pt>
                <c:pt idx="5">
                  <c:v>973697.49</c:v>
                </c:pt>
              </c:numCache>
            </c:numRef>
          </c:val>
          <c:shape val="box"/>
        </c:ser>
        <c:shape val="box"/>
        <c:axId val="265653"/>
        <c:axId val="2390878"/>
      </c:bar3DChart>
      <c:cat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878"/>
        <c:crosses val="autoZero"/>
        <c:auto val="1"/>
        <c:lblOffset val="100"/>
        <c:tickLblSkip val="1"/>
        <c:noMultiLvlLbl val="0"/>
      </c:catAx>
      <c:valAx>
        <c:axId val="2390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28" sqref="P128"/>
    </sheetView>
  </sheetViews>
  <sheetFormatPr defaultColWidth="9.00390625" defaultRowHeight="12.75"/>
  <cols>
    <col min="1" max="1" width="66.875" style="136" customWidth="1"/>
    <col min="2" max="2" width="19.00390625" style="136" hidden="1" customWidth="1"/>
    <col min="3" max="3" width="18.375" style="137" customWidth="1"/>
    <col min="4" max="4" width="19.00390625" style="137" customWidth="1"/>
    <col min="5" max="5" width="17.25390625" style="137" customWidth="1"/>
    <col min="6" max="6" width="19.375" style="137" hidden="1" customWidth="1"/>
    <col min="7" max="7" width="19.375" style="137" customWidth="1"/>
    <col min="8" max="8" width="19.75390625" style="137" hidden="1" customWidth="1"/>
    <col min="9" max="9" width="21.00390625" style="137" customWidth="1"/>
    <col min="10" max="10" width="9.125" style="137" customWidth="1"/>
    <col min="11" max="11" width="21.125" style="137" bestFit="1" customWidth="1"/>
    <col min="12" max="12" width="31.375" style="137" bestFit="1" customWidth="1"/>
    <col min="13" max="16" width="9.125" style="137" customWidth="1"/>
    <col min="17" max="17" width="11.375" style="137" bestFit="1" customWidth="1"/>
    <col min="18" max="16384" width="9.125" style="137" customWidth="1"/>
  </cols>
  <sheetData>
    <row r="1" spans="1:9" ht="66.75" customHeight="1">
      <c r="A1" s="162" t="s">
        <v>112</v>
      </c>
      <c r="B1" s="162"/>
      <c r="C1" s="162"/>
      <c r="D1" s="162"/>
      <c r="E1" s="162"/>
      <c r="F1" s="162"/>
      <c r="G1" s="162"/>
      <c r="H1" s="162"/>
      <c r="I1" s="162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6" t="s">
        <v>40</v>
      </c>
      <c r="B3" s="169" t="s">
        <v>109</v>
      </c>
      <c r="C3" s="163" t="s">
        <v>106</v>
      </c>
      <c r="D3" s="163" t="s">
        <v>22</v>
      </c>
      <c r="E3" s="163" t="s">
        <v>21</v>
      </c>
      <c r="F3" s="163" t="s">
        <v>110</v>
      </c>
      <c r="G3" s="163" t="s">
        <v>107</v>
      </c>
      <c r="H3" s="163" t="s">
        <v>111</v>
      </c>
      <c r="I3" s="163" t="s">
        <v>108</v>
      </c>
    </row>
    <row r="4" spans="1:9" ht="24.75" customHeight="1">
      <c r="A4" s="167"/>
      <c r="B4" s="170"/>
      <c r="C4" s="164"/>
      <c r="D4" s="164"/>
      <c r="E4" s="164"/>
      <c r="F4" s="164"/>
      <c r="G4" s="164"/>
      <c r="H4" s="164"/>
      <c r="I4" s="164"/>
    </row>
    <row r="5" spans="1:10" ht="39" customHeight="1" thickBot="1">
      <c r="A5" s="168"/>
      <c r="B5" s="171"/>
      <c r="C5" s="165"/>
      <c r="D5" s="165"/>
      <c r="E5" s="165"/>
      <c r="F5" s="165"/>
      <c r="G5" s="165"/>
      <c r="H5" s="165"/>
      <c r="I5" s="165"/>
      <c r="J5" s="151"/>
    </row>
    <row r="6" spans="1:11" ht="18.75" thickBot="1">
      <c r="A6" s="18" t="s">
        <v>26</v>
      </c>
      <c r="B6" s="35">
        <f>681593+809.8+52048.5+19179.6</f>
        <v>753630.9</v>
      </c>
      <c r="C6" s="36">
        <f>826775+13431.5+510-13431.5+16-2334+20.8+1070.1+1061.7-1450.1</f>
        <v>825669.5</v>
      </c>
      <c r="D6" s="37">
        <f>673697.2+1047.5+996.5+41.9+1483.1+1089.5+310.7+33936.7+8+48.4+10.8+189.5+2.7+2940.9+75.1+96.8+16177.8+9723.8+110.1+3329.9+131.8+2527.6+2845.6+41.8+3593.7</f>
        <v>754457.4</v>
      </c>
      <c r="E6" s="3">
        <f>D6/D154*100</f>
        <v>38.24189473158123</v>
      </c>
      <c r="F6" s="3">
        <f>D6/B6*100</f>
        <v>100.10966907009784</v>
      </c>
      <c r="G6" s="3">
        <f aca="true" t="shared" si="0" ref="G6:G43">D6/C6*100</f>
        <v>91.37522943502213</v>
      </c>
      <c r="H6" s="37">
        <f>B6-D6</f>
        <v>-826.5</v>
      </c>
      <c r="I6" s="37">
        <f aca="true" t="shared" si="1" ref="I6:I43">C6-D6</f>
        <v>71212.09999999998</v>
      </c>
      <c r="J6" s="152"/>
      <c r="K6" s="153"/>
    </row>
    <row r="7" spans="1:12" s="85" customFormat="1" ht="18.75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8282.7+10875.2+9132.6+9963.6+4.3+9215.1+9968.6+9459.9+11450.4+9572.3+23759.4-0.1+3644+36528.9+8511.9+179.9+764+816.4+0.1+3426.1+9016.3+0.5+9355.5+12599.9+4130.8+9728.1+12165.8+32.8+9616.3+10086.4+2.7+9723.8</f>
        <v>252014.19999999992</v>
      </c>
      <c r="E7" s="132">
        <f>D7/D6*100</f>
        <v>33.40337042223987</v>
      </c>
      <c r="F7" s="132">
        <f>D7/B7*100</f>
        <v>103.99130813694386</v>
      </c>
      <c r="G7" s="132">
        <f>D7/C7*100</f>
        <v>95.9989730212374</v>
      </c>
      <c r="H7" s="131">
        <f>B7-D7</f>
        <v>-9672.599999999919</v>
      </c>
      <c r="I7" s="131">
        <f t="shared" si="1"/>
        <v>10503.400000000052</v>
      </c>
      <c r="J7" s="147"/>
      <c r="K7" s="153"/>
      <c r="L7" s="127"/>
    </row>
    <row r="8" spans="1:12" s="151" customFormat="1" ht="18">
      <c r="A8" s="92" t="s">
        <v>3</v>
      </c>
      <c r="B8" s="114">
        <v>603128.1</v>
      </c>
      <c r="C8" s="115">
        <f>649221.9+8415.5-2000+877-4458.2</f>
        <v>652056.2000000001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+11.5+12146.1+9723.8</f>
        <v>611181.3000000002</v>
      </c>
      <c r="E8" s="96">
        <f>D8/D6*100</f>
        <v>81.00938502293174</v>
      </c>
      <c r="F8" s="96">
        <f>D8/B8*100</f>
        <v>101.33523873286623</v>
      </c>
      <c r="G8" s="96">
        <f t="shared" si="0"/>
        <v>93.73138388991626</v>
      </c>
      <c r="H8" s="94">
        <f>B8-D8</f>
        <v>-8053.200000000186</v>
      </c>
      <c r="I8" s="94">
        <f t="shared" si="1"/>
        <v>40874.89999999991</v>
      </c>
      <c r="J8" s="152"/>
      <c r="K8" s="153"/>
      <c r="L8" s="127"/>
    </row>
    <row r="9" spans="1:12" s="151" customFormat="1" ht="18">
      <c r="A9" s="92" t="s">
        <v>2</v>
      </c>
      <c r="B9" s="114">
        <v>97.7</v>
      </c>
      <c r="C9" s="115">
        <v>97.7</v>
      </c>
      <c r="D9" s="94">
        <f>3.4+5.4+0.8+4.1+3.6+0.3+0.3+3.4+3.4+3.6+2.1+4+2.9+3+2.4+1.4+2+0.9+5.2+1+8.5+6.6+1.4+1.1+0.8+2.6+4.8+5.3+1.6</f>
        <v>85.89999999999998</v>
      </c>
      <c r="E9" s="116">
        <f>D9/D6*100</f>
        <v>0.011385666042907125</v>
      </c>
      <c r="F9" s="96">
        <f>D9/B9*100</f>
        <v>87.92221084953938</v>
      </c>
      <c r="G9" s="96">
        <f t="shared" si="0"/>
        <v>87.92221084953938</v>
      </c>
      <c r="H9" s="94">
        <f aca="true" t="shared" si="2" ref="H9:H43">B9-D9</f>
        <v>11.800000000000026</v>
      </c>
      <c r="I9" s="94">
        <f t="shared" si="1"/>
        <v>11.800000000000026</v>
      </c>
      <c r="J9" s="152"/>
      <c r="K9" s="153"/>
      <c r="L9" s="127"/>
    </row>
    <row r="10" spans="1:12" s="151" customFormat="1" ht="18">
      <c r="A10" s="92" t="s">
        <v>1</v>
      </c>
      <c r="B10" s="114">
        <f>36216.9</f>
        <v>36216.9</v>
      </c>
      <c r="C10" s="115">
        <f>52816.3-8415.5-19.2-3934.8+480</f>
        <v>40926.8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+8.8+387+59.5+184+415.7+54.6</f>
        <v>33995</v>
      </c>
      <c r="E10" s="96">
        <f>D10/D6*100</f>
        <v>4.505887277399625</v>
      </c>
      <c r="F10" s="96">
        <f aca="true" t="shared" si="3" ref="F10:F41">D10/B10*100</f>
        <v>93.86501881718203</v>
      </c>
      <c r="G10" s="96">
        <f t="shared" si="0"/>
        <v>83.06293186860442</v>
      </c>
      <c r="H10" s="94">
        <f t="shared" si="2"/>
        <v>2221.9000000000015</v>
      </c>
      <c r="I10" s="94">
        <f t="shared" si="1"/>
        <v>6931.800000000003</v>
      </c>
      <c r="J10" s="152"/>
      <c r="K10" s="153"/>
      <c r="L10" s="127"/>
    </row>
    <row r="11" spans="1:12" s="151" customFormat="1" ht="18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+15.4+73.9+3608.3+77+2335+33.3+1648.8+1898.4+0.2+3046.8</f>
        <v>75945.7</v>
      </c>
      <c r="E11" s="96">
        <f>D11/D6*100</f>
        <v>10.066267492372663</v>
      </c>
      <c r="F11" s="96">
        <f t="shared" si="3"/>
        <v>101.18308980957316</v>
      </c>
      <c r="G11" s="96">
        <f t="shared" si="0"/>
        <v>86.1331890705028</v>
      </c>
      <c r="H11" s="94">
        <f t="shared" si="2"/>
        <v>-887.9999999999854</v>
      </c>
      <c r="I11" s="94">
        <f t="shared" si="1"/>
        <v>12226.699999999997</v>
      </c>
      <c r="J11" s="152"/>
      <c r="K11" s="153"/>
      <c r="L11" s="127"/>
    </row>
    <row r="12" spans="1:12" s="151" customFormat="1" ht="18">
      <c r="A12" s="92" t="s">
        <v>14</v>
      </c>
      <c r="B12" s="114">
        <v>11603.9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+19+362.6+324.6+23.1+230.8</f>
        <v>12083.099999999997</v>
      </c>
      <c r="E12" s="96">
        <f>D12/D6*100</f>
        <v>1.6015615991042034</v>
      </c>
      <c r="F12" s="96">
        <f t="shared" si="3"/>
        <v>104.12964606727047</v>
      </c>
      <c r="G12" s="96">
        <f t="shared" si="0"/>
        <v>94.85869053226563</v>
      </c>
      <c r="H12" s="94">
        <f>B12-D12</f>
        <v>-479.1999999999971</v>
      </c>
      <c r="I12" s="94">
        <f t="shared" si="1"/>
        <v>654.9000000000033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27526.600000000028</v>
      </c>
      <c r="C13" s="115">
        <f>C6-C8-C9-C10-C11-C12</f>
        <v>31678.399999999936</v>
      </c>
      <c r="D13" s="115">
        <f>D6-D8-D9-D10-D11-D12</f>
        <v>21166.39999999987</v>
      </c>
      <c r="E13" s="96">
        <f>D13/D6*100</f>
        <v>2.8055129421488703</v>
      </c>
      <c r="F13" s="96">
        <f t="shared" si="3"/>
        <v>76.89434946560726</v>
      </c>
      <c r="G13" s="96">
        <f t="shared" si="0"/>
        <v>66.8165058841353</v>
      </c>
      <c r="H13" s="94">
        <f t="shared" si="2"/>
        <v>6360.200000000157</v>
      </c>
      <c r="I13" s="94">
        <f t="shared" si="1"/>
        <v>10512.000000000065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7"/>
      <c r="L14" s="137"/>
      <c r="M14" s="137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7"/>
      <c r="L15" s="137"/>
      <c r="M15" s="137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7"/>
      <c r="L16" s="137"/>
      <c r="M16" s="137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7"/>
      <c r="L17" s="137"/>
      <c r="M17" s="137"/>
    </row>
    <row r="18" spans="1:11" ht="18.75" thickBot="1">
      <c r="A18" s="18" t="s">
        <v>19</v>
      </c>
      <c r="B18" s="35">
        <f>333159.1-2662.4+17838.6+15694.7-1079.1</f>
        <v>362950.89999999997</v>
      </c>
      <c r="C18" s="36">
        <f>424151.5+750.3+185.6-18990.5+1745.5</f>
        <v>407842.39999999997</v>
      </c>
      <c r="D18" s="37">
        <f>337105.1+363.9+729.2+15.5+327.8+10035.9+3545.6+2688.8+857.2+448.5+1785.9+1404+10311.8+533.9+378.8+485.5+17.6+3272.6+399.8+3718.6+150+257</f>
        <v>378832.99999999994</v>
      </c>
      <c r="E18" s="3">
        <f>D18/D154*100</f>
        <v>19.202266034966467</v>
      </c>
      <c r="F18" s="3">
        <f>D18/B18*100</f>
        <v>104.37582604148383</v>
      </c>
      <c r="G18" s="3">
        <f t="shared" si="0"/>
        <v>92.88710541130592</v>
      </c>
      <c r="H18" s="37">
        <f>B18-D18</f>
        <v>-15882.099999999977</v>
      </c>
      <c r="I18" s="37">
        <f t="shared" si="1"/>
        <v>29009.400000000023</v>
      </c>
      <c r="J18" s="152"/>
      <c r="K18" s="153"/>
    </row>
    <row r="19" spans="1:13" s="85" customFormat="1" ht="18.75">
      <c r="A19" s="128" t="s">
        <v>82</v>
      </c>
      <c r="B19" s="129">
        <f>196322.2+15694.8</f>
        <v>212017</v>
      </c>
      <c r="C19" s="130">
        <f>226186+750.3+185.6+589.9+85.5</f>
        <v>227797.3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+10311.8+378.8+17.6+399.8+257</f>
        <v>223830.49999999997</v>
      </c>
      <c r="E19" s="132">
        <f>D19/D18*100</f>
        <v>59.0842138884416</v>
      </c>
      <c r="F19" s="132">
        <f t="shared" si="3"/>
        <v>105.57195885235618</v>
      </c>
      <c r="G19" s="132">
        <f t="shared" si="0"/>
        <v>98.25862729716286</v>
      </c>
      <c r="H19" s="131">
        <f t="shared" si="2"/>
        <v>-11813.49999999997</v>
      </c>
      <c r="I19" s="131">
        <f t="shared" si="1"/>
        <v>3966.8000000000175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/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/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/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/>
    </row>
    <row r="24" spans="1:11" s="151" customFormat="1" ht="18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2"/>
      <c r="K24" s="153"/>
    </row>
    <row r="25" spans="1:11" s="151" customFormat="1" ht="18.75" thickBot="1">
      <c r="A25" s="92" t="s">
        <v>27</v>
      </c>
      <c r="B25" s="115">
        <f>B18</f>
        <v>362950.89999999997</v>
      </c>
      <c r="C25" s="115">
        <f>C18</f>
        <v>407842.39999999997</v>
      </c>
      <c r="D25" s="115">
        <f>D18</f>
        <v>378832.99999999994</v>
      </c>
      <c r="E25" s="96">
        <f>D25/D18*100</f>
        <v>100</v>
      </c>
      <c r="F25" s="96">
        <f t="shared" si="3"/>
        <v>104.37582604148383</v>
      </c>
      <c r="G25" s="96">
        <f t="shared" si="0"/>
        <v>92.88710541130592</v>
      </c>
      <c r="H25" s="94">
        <f t="shared" si="2"/>
        <v>-15882.099999999977</v>
      </c>
      <c r="I25" s="94">
        <f t="shared" si="1"/>
        <v>29009.400000000023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/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/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/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/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/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/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/>
    </row>
    <row r="33" spans="1:11" ht="18.75" thickBot="1">
      <c r="A33" s="18" t="s">
        <v>17</v>
      </c>
      <c r="B33" s="35">
        <f>20177.6+27.7+2+2155.9+7.9</f>
        <v>22371.100000000002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+14.6+10.4+451.7+35.9+3.8+284.8+634.3</f>
        <v>23002.500000000007</v>
      </c>
      <c r="E33" s="3">
        <f>D33/D154*100</f>
        <v>1.1659494407016189</v>
      </c>
      <c r="F33" s="3">
        <f>D33/B33*100</f>
        <v>102.82239138889015</v>
      </c>
      <c r="G33" s="3">
        <f t="shared" si="0"/>
        <v>92.49281248115166</v>
      </c>
      <c r="H33" s="37">
        <f t="shared" si="2"/>
        <v>-631.4000000000051</v>
      </c>
      <c r="I33" s="37">
        <f t="shared" si="1"/>
        <v>1866.999999999989</v>
      </c>
      <c r="J33" s="152"/>
      <c r="K33" s="153"/>
    </row>
    <row r="34" spans="1:11" s="151" customFormat="1" ht="18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364.6+548.1+389.3+522.2+63+395+556.7+63+391.3+512.8+63+394.6+664.3+89.8+0.3+456.7+632.3+12+89.8+485+19+3.6+623.1+89.8+9.9+419.4+475.8+71.8+336.5+18.5+2.5+155.1+372.7+96+254.3+89.8+21.2+809.4+383.8+16.4+583.7+400+4.1</f>
        <v>11950.2</v>
      </c>
      <c r="E34" s="96">
        <f>D34/D33*100</f>
        <v>51.951744375611334</v>
      </c>
      <c r="F34" s="96">
        <f t="shared" si="3"/>
        <v>100.71553184495967</v>
      </c>
      <c r="G34" s="96">
        <f t="shared" si="0"/>
        <v>92.30377087420636</v>
      </c>
      <c r="H34" s="94">
        <f t="shared" si="2"/>
        <v>-84.89999999999964</v>
      </c>
      <c r="I34" s="94">
        <f t="shared" si="1"/>
        <v>996.3999999999996</v>
      </c>
      <c r="J34" s="152"/>
      <c r="K34" s="153"/>
    </row>
    <row r="35" spans="1:11" s="151" customFormat="1" ht="18">
      <c r="A35" s="92" t="s">
        <v>1</v>
      </c>
      <c r="B35" s="114">
        <v>59.6</v>
      </c>
      <c r="C35" s="115">
        <v>81.1</v>
      </c>
      <c r="D35" s="94">
        <f>6.8+8.7+11.6+32.5+4.4+4.9</f>
        <v>68.9</v>
      </c>
      <c r="E35" s="96">
        <f>D35/D33*100</f>
        <v>0.29953265949353325</v>
      </c>
      <c r="F35" s="96">
        <f t="shared" si="3"/>
        <v>115.60402684563759</v>
      </c>
      <c r="G35" s="96">
        <f t="shared" si="0"/>
        <v>84.95684340320592</v>
      </c>
      <c r="H35" s="94">
        <f t="shared" si="2"/>
        <v>-9.300000000000004</v>
      </c>
      <c r="I35" s="94">
        <f t="shared" si="1"/>
        <v>12.199999999999989</v>
      </c>
      <c r="J35" s="152"/>
      <c r="K35" s="153"/>
    </row>
    <row r="36" spans="1:11" s="151" customFormat="1" ht="18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0.3+11.3+141.7+12.6+0.9+12.9+1.3+0.5+169.4+1.1+0.1+0.4+11.3+166.1+3.8+5.1+2.9+0.2+0.5+11.9+319.9+44.3+12.2+0.9-0.2+8.4+29.5+8.6+0.2+7.6+0.4+4.3+0.1+0.3+7.8+4.8+0.2+5.5+2.5+0.2+2.6+6.1+6.3+1.5+8+80.1+21+1.6+0.4+4.6+202.9</f>
        <v>1346.8999999999999</v>
      </c>
      <c r="E36" s="96">
        <f>D36/D33*100</f>
        <v>5.855450494511464</v>
      </c>
      <c r="F36" s="96">
        <f t="shared" si="3"/>
        <v>91.30287418655095</v>
      </c>
      <c r="G36" s="96">
        <f t="shared" si="0"/>
        <v>75.54122265844082</v>
      </c>
      <c r="H36" s="94">
        <f t="shared" si="2"/>
        <v>128.3000000000004</v>
      </c>
      <c r="I36" s="94">
        <f t="shared" si="1"/>
        <v>436.10000000000014</v>
      </c>
      <c r="J36" s="152"/>
      <c r="K36" s="153"/>
    </row>
    <row r="37" spans="1:12" s="85" customFormat="1" ht="18.75">
      <c r="A37" s="105" t="s">
        <v>7</v>
      </c>
      <c r="B37" s="125">
        <f>766.6+2+20.5+7.9</f>
        <v>797</v>
      </c>
      <c r="C37" s="126">
        <v>1008</v>
      </c>
      <c r="D37" s="98">
        <f>44.8+25.1+1.6+0.5+2.7+1+6.3+8.5+2.5+36.6+1.5+4.5+23.6+4.1+106.1+32.6+9.7+2.5+4.3+1.9+2.2+5.9+0.2+124.8+6.7+179.9+41.5+2.4+6.3+14.7+42.8+20.1+5+3.6+3.8+16.6+4.5+25.2+3.8+12.3</f>
        <v>842.6999999999998</v>
      </c>
      <c r="E37" s="101">
        <f>D37/D33*100</f>
        <v>3.6635148353439826</v>
      </c>
      <c r="F37" s="101">
        <f t="shared" si="3"/>
        <v>105.73400250941027</v>
      </c>
      <c r="G37" s="101">
        <f t="shared" si="0"/>
        <v>83.60119047619045</v>
      </c>
      <c r="H37" s="98">
        <f t="shared" si="2"/>
        <v>-45.69999999999982</v>
      </c>
      <c r="I37" s="98">
        <f t="shared" si="1"/>
        <v>165.30000000000018</v>
      </c>
      <c r="J37" s="147"/>
      <c r="K37" s="153"/>
      <c r="L37" s="127"/>
    </row>
    <row r="38" spans="1:11" s="151" customFormat="1" ht="18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5.1+5.1+5.1+5.1+5.1+8.7+5.1+45.1+5.1</f>
        <v>89.5</v>
      </c>
      <c r="E38" s="96">
        <f>D38/D33*100</f>
        <v>0.38908814259319624</v>
      </c>
      <c r="F38" s="96">
        <f t="shared" si="3"/>
        <v>106.042654028436</v>
      </c>
      <c r="G38" s="96">
        <f t="shared" si="0"/>
        <v>100</v>
      </c>
      <c r="H38" s="94">
        <f t="shared" si="2"/>
        <v>-5.099999999999994</v>
      </c>
      <c r="I38" s="94">
        <f t="shared" si="1"/>
        <v>0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8089.6</v>
      </c>
      <c r="C39" s="114">
        <f>C33-C34-C36-C37-C35-C38</f>
        <v>8961.299999999996</v>
      </c>
      <c r="D39" s="114">
        <f>D33-D34-D36-D37-D35-D38</f>
        <v>8704.300000000008</v>
      </c>
      <c r="E39" s="96">
        <f>D39/D33*100</f>
        <v>37.8406694924465</v>
      </c>
      <c r="F39" s="96">
        <f t="shared" si="3"/>
        <v>107.59864517405073</v>
      </c>
      <c r="G39" s="96">
        <f t="shared" si="0"/>
        <v>97.13211252831636</v>
      </c>
      <c r="H39" s="94">
        <f>B39-D39</f>
        <v>-614.700000000008</v>
      </c>
      <c r="I39" s="94">
        <f t="shared" si="1"/>
        <v>256.99999999998727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/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/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/>
    </row>
    <row r="43" spans="1:11" ht="19.5" thickBot="1">
      <c r="A43" s="11" t="s">
        <v>16</v>
      </c>
      <c r="B43" s="72">
        <f>1293.5-2+236</f>
        <v>1527.5</v>
      </c>
      <c r="C43" s="36">
        <f>1126.9+467-659.1</f>
        <v>934.8000000000001</v>
      </c>
      <c r="D43" s="37">
        <f>63.9+1.1+0.6+70.8+0.5+48+6.7+2+13.7+10.4+20.2+0.7+37.4+27+181.7+0.2+2.1+7.5+10+0.2+3.3+24.2+12.6+1.5+22+2.4+8+14.4+3.9+1.2+1.7+0.1+3+13.7+46.4+0.8+12.3+4.5+8.5+7.8+2.1+0.8+3+3+28.2</f>
        <v>734.0999999999999</v>
      </c>
      <c r="E43" s="3">
        <f>D43/D154*100</f>
        <v>0.03721001997257072</v>
      </c>
      <c r="F43" s="3">
        <f>D43/B43*100</f>
        <v>48.058919803600645</v>
      </c>
      <c r="G43" s="3">
        <f t="shared" si="0"/>
        <v>78.53016688061616</v>
      </c>
      <c r="H43" s="37">
        <f t="shared" si="2"/>
        <v>793.4000000000001</v>
      </c>
      <c r="I43" s="37">
        <f t="shared" si="1"/>
        <v>200.70000000000016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f>11184.4+1142.2</f>
        <v>12326.6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237.1+562.8+52.3+349.2+679.9+375.9+891+78.3+327.4+13.5+670.2+386.5+179.9+781.7-0.1+25.5+366.5+16.5+692.2+3.8+389.3+707.6+15.1+379.9+4.5+611.9+360.8+661.9+337.6+11.6+789.6+30.4+326.3+16.1+743.8+7.3+75+354.5+75.3</f>
        <v>12588.599999999997</v>
      </c>
      <c r="E45" s="3">
        <f>D45/D154*100</f>
        <v>0.6380902566771608</v>
      </c>
      <c r="F45" s="3">
        <f>D45/B45*100</f>
        <v>102.12548472409257</v>
      </c>
      <c r="G45" s="3">
        <f aca="true" t="shared" si="4" ref="G45:G76">D45/C45*100</f>
        <v>92.72482193233796</v>
      </c>
      <c r="H45" s="37">
        <f>B45-D45</f>
        <v>-261.99999999999636</v>
      </c>
      <c r="I45" s="37">
        <f aca="true" t="shared" si="5" ref="I45:I77">C45-D45</f>
        <v>987.7000000000025</v>
      </c>
      <c r="J45" s="152"/>
      <c r="K45" s="153"/>
    </row>
    <row r="46" spans="1:11" s="151" customFormat="1" ht="18">
      <c r="A46" s="92" t="s">
        <v>3</v>
      </c>
      <c r="B46" s="114">
        <f>10237.8+1011.8</f>
        <v>11249.599999999999</v>
      </c>
      <c r="C46" s="115">
        <v>12256.4</v>
      </c>
      <c r="D46" s="94">
        <f>237.1+551.8+334.1+652.5+314.7+746.1+319.2+661.7+342.8+781.7+0.2-0.1+366.5+692.2+367.7+697.1+14.1+359.1+599.6+318.9+654.8+315+778.2+5.2+0.1+303.9+728.8+332.2</f>
        <v>11475.2</v>
      </c>
      <c r="E46" s="96">
        <f>D46/D45*100</f>
        <v>91.15548988767618</v>
      </c>
      <c r="F46" s="96">
        <f aca="true" t="shared" si="6" ref="F46:F74">D46/B46*100</f>
        <v>102.00540463660931</v>
      </c>
      <c r="G46" s="96">
        <f t="shared" si="4"/>
        <v>93.62618713488465</v>
      </c>
      <c r="H46" s="94">
        <f aca="true" t="shared" si="7" ref="H46:H74">B46-D46</f>
        <v>-225.60000000000218</v>
      </c>
      <c r="I46" s="94">
        <f t="shared" si="5"/>
        <v>781.1999999999989</v>
      </c>
      <c r="J46" s="152"/>
      <c r="K46" s="153"/>
    </row>
    <row r="47" spans="1:11" s="151" customFormat="1" ht="18">
      <c r="A47" s="92" t="s">
        <v>2</v>
      </c>
      <c r="B47" s="114">
        <f>0.8+0.7</f>
        <v>1.5</v>
      </c>
      <c r="C47" s="115">
        <v>1.5</v>
      </c>
      <c r="D47" s="94">
        <f>0.7+0.7</f>
        <v>1.4</v>
      </c>
      <c r="E47" s="96">
        <f>D47/D45*100</f>
        <v>0.011121173124890776</v>
      </c>
      <c r="F47" s="96">
        <f t="shared" si="6"/>
        <v>93.33333333333333</v>
      </c>
      <c r="G47" s="96">
        <f t="shared" si="4"/>
        <v>93.33333333333333</v>
      </c>
      <c r="H47" s="94">
        <f t="shared" si="7"/>
        <v>0.10000000000000009</v>
      </c>
      <c r="I47" s="94">
        <f t="shared" si="5"/>
        <v>0.10000000000000009</v>
      </c>
      <c r="J47" s="152"/>
      <c r="K47" s="153"/>
    </row>
    <row r="48" spans="1:11" s="151" customFormat="1" ht="18">
      <c r="A48" s="92" t="s">
        <v>1</v>
      </c>
      <c r="B48" s="114">
        <f>68.2+10.5</f>
        <v>78.7</v>
      </c>
      <c r="C48" s="115">
        <v>98.9</v>
      </c>
      <c r="D48" s="94">
        <f>5.7+6.1+6.5+7.7+8.4+7+0.1+8.9+9.6+9</f>
        <v>69</v>
      </c>
      <c r="E48" s="96">
        <f>D48/D45*100</f>
        <v>0.5481149611553312</v>
      </c>
      <c r="F48" s="96">
        <f t="shared" si="6"/>
        <v>87.67471410419313</v>
      </c>
      <c r="G48" s="96">
        <f t="shared" si="4"/>
        <v>69.76744186046511</v>
      </c>
      <c r="H48" s="94">
        <f t="shared" si="7"/>
        <v>9.700000000000003</v>
      </c>
      <c r="I48" s="94">
        <f t="shared" si="5"/>
        <v>29.900000000000006</v>
      </c>
      <c r="J48" s="152"/>
      <c r="K48" s="153"/>
    </row>
    <row r="49" spans="1:11" s="151" customFormat="1" ht="18">
      <c r="A49" s="92" t="s">
        <v>0</v>
      </c>
      <c r="B49" s="114">
        <f>595+89.5</f>
        <v>684.5</v>
      </c>
      <c r="C49" s="115">
        <v>879.8</v>
      </c>
      <c r="D49" s="94">
        <f>7.3+51.9+12.7-0.1+54.5+131.2+49.5+2.4+7.9+11.2+178.3+0.4+4.1+0.1+0.6+1.4+0.5+0.8+4.5+4.5+1+5+1.4+9.1+16+0.1+15.9+3.2+7.3+60.9+72.2</f>
        <v>715.8</v>
      </c>
      <c r="E49" s="96">
        <f>D49/D45*100</f>
        <v>5.68609694485487</v>
      </c>
      <c r="F49" s="96">
        <f t="shared" si="6"/>
        <v>104.57268078889699</v>
      </c>
      <c r="G49" s="96">
        <f t="shared" si="4"/>
        <v>81.35939986360536</v>
      </c>
      <c r="H49" s="94">
        <f t="shared" si="7"/>
        <v>-31.299999999999955</v>
      </c>
      <c r="I49" s="94">
        <f t="shared" si="5"/>
        <v>164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312.30000000000183</v>
      </c>
      <c r="C50" s="115">
        <f>C45-C46-C49-C48-C47</f>
        <v>339.6999999999997</v>
      </c>
      <c r="D50" s="115">
        <f>D45-D46-D49-D48-D47</f>
        <v>327.19999999999607</v>
      </c>
      <c r="E50" s="96">
        <f>D50/D45*100</f>
        <v>2.5991770331887274</v>
      </c>
      <c r="F50" s="96">
        <f t="shared" si="6"/>
        <v>104.77105347422162</v>
      </c>
      <c r="G50" s="96">
        <f t="shared" si="4"/>
        <v>96.32028260229507</v>
      </c>
      <c r="H50" s="94">
        <f t="shared" si="7"/>
        <v>-14.899999999994236</v>
      </c>
      <c r="I50" s="94">
        <f t="shared" si="5"/>
        <v>12.500000000003638</v>
      </c>
      <c r="J50" s="152"/>
      <c r="K50" s="153"/>
    </row>
    <row r="51" spans="1:11" ht="18.75" thickBot="1">
      <c r="A51" s="18" t="s">
        <v>4</v>
      </c>
      <c r="B51" s="35">
        <f>30742.3+124.3+3465</f>
        <v>34331.6</v>
      </c>
      <c r="C51" s="36">
        <f>37135.4+450-426+576.2+259</f>
        <v>37994.6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+92.6+6.1+1003.8+120.7+406.9+6.6+1316.5</f>
        <v>32749.299999999992</v>
      </c>
      <c r="E51" s="3">
        <f>D51/D154*100</f>
        <v>1.659994697027258</v>
      </c>
      <c r="F51" s="3">
        <f>D51/B51*100</f>
        <v>95.39112654231086</v>
      </c>
      <c r="G51" s="3">
        <f t="shared" si="4"/>
        <v>86.19461712980264</v>
      </c>
      <c r="H51" s="37">
        <f>B51-D51</f>
        <v>1582.3000000000065</v>
      </c>
      <c r="I51" s="37">
        <f t="shared" si="5"/>
        <v>5245.300000000007</v>
      </c>
      <c r="J51" s="152"/>
      <c r="K51" s="153"/>
    </row>
    <row r="52" spans="1:11" s="151" customFormat="1" ht="18">
      <c r="A52" s="92" t="s">
        <v>3</v>
      </c>
      <c r="B52" s="114">
        <f>16585.9+1913.6</f>
        <v>18499.5</v>
      </c>
      <c r="C52" s="115">
        <f>20097.4+92.2</f>
        <v>20189.600000000002</v>
      </c>
      <c r="D52" s="94">
        <f>632.9+34.3+767.3+737.6+710.6+649.6+792.4+1.6+643.1+825.6+650.1+947+1196.1+785.4+658.1+439+623.6+358.8+550.5+716.3+1140.3+694.7+845.6+818.5+1013.9+10.9+757.9+1067.8</f>
        <v>19069.500000000004</v>
      </c>
      <c r="E52" s="96">
        <f>D52/D51*100</f>
        <v>58.228725499476354</v>
      </c>
      <c r="F52" s="96">
        <f t="shared" si="6"/>
        <v>103.08116435579342</v>
      </c>
      <c r="G52" s="96">
        <f t="shared" si="4"/>
        <v>94.45209414748189</v>
      </c>
      <c r="H52" s="94">
        <f t="shared" si="7"/>
        <v>-570.0000000000036</v>
      </c>
      <c r="I52" s="94">
        <f t="shared" si="5"/>
        <v>1120.0999999999985</v>
      </c>
      <c r="J52" s="152"/>
      <c r="K52" s="153"/>
    </row>
    <row r="53" spans="1:11" s="151" customFormat="1" ht="18">
      <c r="A53" s="92" t="s">
        <v>2</v>
      </c>
      <c r="B53" s="114">
        <v>15.3</v>
      </c>
      <c r="C53" s="115">
        <f>13.9+1.38435</f>
        <v>15.28435</v>
      </c>
      <c r="D53" s="94">
        <f>1+1.7+1.2+5.3+1.4+2.3+1.7</f>
        <v>14.599999999999998</v>
      </c>
      <c r="E53" s="96">
        <f>D53/D51*100</f>
        <v>0.044581105550347645</v>
      </c>
      <c r="F53" s="96">
        <f>D53/B53*100</f>
        <v>95.42483660130718</v>
      </c>
      <c r="G53" s="96">
        <f t="shared" si="4"/>
        <v>95.52254430185123</v>
      </c>
      <c r="H53" s="94">
        <f t="shared" si="7"/>
        <v>0.7000000000000028</v>
      </c>
      <c r="I53" s="94">
        <f t="shared" si="5"/>
        <v>0.684350000000002</v>
      </c>
      <c r="J53" s="152"/>
      <c r="K53" s="153"/>
    </row>
    <row r="54" spans="1:11" s="151" customFormat="1" ht="18">
      <c r="A54" s="92" t="s">
        <v>1</v>
      </c>
      <c r="B54" s="114">
        <f>869.1+155.2</f>
        <v>1024.3</v>
      </c>
      <c r="C54" s="115">
        <f>993.6+100-3.8+25</f>
        <v>1114.8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0.2+4.2+9+4.7+9.6+6.3+43.2+2.7+18.4+3.8+23.8+5.3+12.2+43.2+26.7+3.8+22.4+0.4+59.7+30.3+3.3+19.2+7+2.9+21+4.4-0.4+4.8+2.2+3.6+32.5+6.4+7.8+23.5+0.7+4.2+10.2+2.2+1.8+2+15.6+1.8+2.2+4.1+5.9+16.2+64.8+35.5+24.1+15+22.2+8.7+11.7+6.3+2.8+26.7+2.5+28.1+19.5+17.9+41.9+34.1+12.6+12.8</f>
        <v>922.2</v>
      </c>
      <c r="E54" s="96">
        <f>D54/D51*100</f>
        <v>2.8159380505842884</v>
      </c>
      <c r="F54" s="96">
        <f t="shared" si="6"/>
        <v>90.0322171238895</v>
      </c>
      <c r="G54" s="96">
        <f t="shared" si="4"/>
        <v>82.72335844994618</v>
      </c>
      <c r="H54" s="94">
        <f t="shared" si="7"/>
        <v>102.09999999999991</v>
      </c>
      <c r="I54" s="94">
        <f t="shared" si="5"/>
        <v>192.5999999999999</v>
      </c>
      <c r="J54" s="152"/>
      <c r="K54" s="153"/>
    </row>
    <row r="55" spans="1:11" s="151" customFormat="1" ht="18">
      <c r="A55" s="92" t="s">
        <v>0</v>
      </c>
      <c r="B55" s="114">
        <f>824+106.3+185.9</f>
        <v>1116.2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+9.9+17+9.5+22.2</f>
        <v>703.2</v>
      </c>
      <c r="E55" s="96">
        <f>D55/D51*100</f>
        <v>2.1472214673290733</v>
      </c>
      <c r="F55" s="96">
        <f t="shared" si="6"/>
        <v>62.99946246192438</v>
      </c>
      <c r="G55" s="96">
        <f t="shared" si="4"/>
        <v>57.644069185998845</v>
      </c>
      <c r="H55" s="94">
        <f t="shared" si="7"/>
        <v>413</v>
      </c>
      <c r="I55" s="94">
        <f t="shared" si="5"/>
        <v>516.7</v>
      </c>
      <c r="J55" s="152"/>
      <c r="K55" s="153"/>
    </row>
    <row r="56" spans="1:11" s="151" customFormat="1" ht="18">
      <c r="A56" s="92" t="s">
        <v>14</v>
      </c>
      <c r="B56" s="114">
        <f>1100+110</f>
        <v>1210</v>
      </c>
      <c r="C56" s="115">
        <v>1320</v>
      </c>
      <c r="D56" s="115">
        <f>110+110+110+110+110+110+110+110+110+106+106+106</f>
        <v>1308</v>
      </c>
      <c r="E56" s="96">
        <f>D56/D51*100</f>
        <v>3.993978497250324</v>
      </c>
      <c r="F56" s="96">
        <f>D56/B56*100</f>
        <v>108.09917355371901</v>
      </c>
      <c r="G56" s="96">
        <f>D56/C56*100</f>
        <v>99.0909090909091</v>
      </c>
      <c r="H56" s="94">
        <f t="shared" si="7"/>
        <v>-98</v>
      </c>
      <c r="I56" s="94">
        <f t="shared" si="5"/>
        <v>12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12466.3</v>
      </c>
      <c r="C57" s="115">
        <f>C51-C52-C55-C54-C53-C56</f>
        <v>14135.015649999996</v>
      </c>
      <c r="D57" s="115">
        <f>D51-D52-D55-D54-D53-D56</f>
        <v>10731.799999999987</v>
      </c>
      <c r="E57" s="96">
        <f>D57/D51*100</f>
        <v>32.76955537980961</v>
      </c>
      <c r="F57" s="96">
        <f t="shared" si="6"/>
        <v>86.0864891748152</v>
      </c>
      <c r="G57" s="96">
        <f t="shared" si="4"/>
        <v>75.92350985476263</v>
      </c>
      <c r="H57" s="94">
        <f>B57-D57</f>
        <v>1734.5000000000127</v>
      </c>
      <c r="I57" s="94">
        <f>C57-D57</f>
        <v>3403.215650000009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6"/>
        <v>#DIV/0!</v>
      </c>
      <c r="G58" s="69" t="e">
        <f t="shared" si="4"/>
        <v>#DIV/0!</v>
      </c>
      <c r="H58" s="73">
        <f t="shared" si="7"/>
        <v>0</v>
      </c>
      <c r="I58" s="73">
        <f>C58-D58</f>
        <v>0</v>
      </c>
      <c r="J58" s="147"/>
      <c r="K58" s="153"/>
    </row>
    <row r="59" spans="1:11" ht="18.75" thickBot="1">
      <c r="A59" s="18" t="s">
        <v>6</v>
      </c>
      <c r="B59" s="35">
        <f>8862+38.1+215.4+128.8</f>
        <v>9244.3</v>
      </c>
      <c r="C59" s="36">
        <f>9264.2+300+32.4-679</f>
        <v>8917.6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+44.4+134.8+180.8</f>
        <v>8031.9</v>
      </c>
      <c r="E59" s="3">
        <f>D59/D154*100</f>
        <v>0.4071205005008729</v>
      </c>
      <c r="F59" s="3">
        <f>D59/B59*100</f>
        <v>86.88489123027163</v>
      </c>
      <c r="G59" s="3">
        <f t="shared" si="4"/>
        <v>90.06795550372296</v>
      </c>
      <c r="H59" s="37">
        <f>B59-D59</f>
        <v>1212.3999999999996</v>
      </c>
      <c r="I59" s="37">
        <f t="shared" si="5"/>
        <v>885.7000000000007</v>
      </c>
      <c r="J59" s="152"/>
      <c r="K59" s="153"/>
    </row>
    <row r="60" spans="1:11" s="151" customFormat="1" ht="18">
      <c r="A60" s="92" t="s">
        <v>3</v>
      </c>
      <c r="B60" s="114">
        <f>2608.2+133+120.9</f>
        <v>2862.1</v>
      </c>
      <c r="C60" s="115">
        <f>3119.7+14</f>
        <v>3133.7</v>
      </c>
      <c r="D60" s="94">
        <f>77.7+79.1+76.9+40.5+47.3+155.9+45+29.2+85.8+95.3+38.3+30.7+89.8+79.1+80.7+178.9+50.9+35.4+119.2+73+83.9+167.9+42.3+43+65+68.5+34.6+47.8+164.9+73.8+172.5+81.2+83.4+72.9+4.4+33.5+42.9+180.8</f>
        <v>2972.000000000001</v>
      </c>
      <c r="E60" s="96">
        <f>D60/D59*100</f>
        <v>37.00245271977989</v>
      </c>
      <c r="F60" s="96">
        <f t="shared" si="6"/>
        <v>103.83983788127603</v>
      </c>
      <c r="G60" s="96">
        <f t="shared" si="4"/>
        <v>94.83996553594795</v>
      </c>
      <c r="H60" s="94">
        <f t="shared" si="7"/>
        <v>-109.900000000001</v>
      </c>
      <c r="I60" s="94">
        <f t="shared" si="5"/>
        <v>161.6999999999989</v>
      </c>
      <c r="J60" s="152"/>
      <c r="K60" s="153"/>
    </row>
    <row r="61" spans="1:11" s="151" customFormat="1" ht="18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4.8693335325390015</v>
      </c>
      <c r="F61" s="96">
        <f>D61/B61*100</f>
        <v>99.49122360722463</v>
      </c>
      <c r="G61" s="96">
        <f t="shared" si="4"/>
        <v>99.49122360722464</v>
      </c>
      <c r="H61" s="94">
        <f t="shared" si="7"/>
        <v>2</v>
      </c>
      <c r="I61" s="94">
        <f t="shared" si="5"/>
        <v>1.9999999999999432</v>
      </c>
      <c r="J61" s="152"/>
      <c r="K61" s="153"/>
    </row>
    <row r="62" spans="1:11" s="151" customFormat="1" ht="18">
      <c r="A62" s="92" t="s">
        <v>0</v>
      </c>
      <c r="B62" s="114">
        <f>253.5+38.1+58.4+5.8</f>
        <v>355.8</v>
      </c>
      <c r="C62" s="115">
        <f>393.7-14</f>
        <v>379.7</v>
      </c>
      <c r="D62" s="94">
        <f>10.9+43.2+13-3+39.2+5.7+50.2+3.5+0.2+29.7+2.5+1.8+22+0.1+0.7+2.1+0.1+0.1+2.2+0.1+0.1+2.1+1.2+0.5+0.1+0.6+16.3+0.1+1.9+0.2+25.9+8+82.4</f>
        <v>363.69999999999993</v>
      </c>
      <c r="E62" s="96">
        <f>D62/D59*100</f>
        <v>4.528193827114381</v>
      </c>
      <c r="F62" s="96">
        <f t="shared" si="6"/>
        <v>102.22034851039908</v>
      </c>
      <c r="G62" s="96">
        <f t="shared" si="4"/>
        <v>95.78614695812482</v>
      </c>
      <c r="H62" s="94">
        <f t="shared" si="7"/>
        <v>-7.89999999999992</v>
      </c>
      <c r="I62" s="94">
        <f t="shared" si="5"/>
        <v>16.000000000000057</v>
      </c>
      <c r="J62" s="152"/>
      <c r="K62" s="153"/>
    </row>
    <row r="63" spans="1:11" s="151" customFormat="1" ht="18">
      <c r="A63" s="92" t="s">
        <v>14</v>
      </c>
      <c r="B63" s="114">
        <v>4866.6</v>
      </c>
      <c r="C63" s="115">
        <f>4866.6-679</f>
        <v>4187.6</v>
      </c>
      <c r="D63" s="94">
        <f>136+283.5+578.4+584+1151+850.5</f>
        <v>3583.4</v>
      </c>
      <c r="E63" s="96">
        <f>D63/D59*100</f>
        <v>44.61459928534967</v>
      </c>
      <c r="F63" s="96">
        <f t="shared" si="6"/>
        <v>73.63251551391114</v>
      </c>
      <c r="G63" s="96">
        <f t="shared" si="4"/>
        <v>85.57168784029038</v>
      </c>
      <c r="H63" s="94">
        <f t="shared" si="7"/>
        <v>1283.2000000000003</v>
      </c>
      <c r="I63" s="94">
        <f t="shared" si="5"/>
        <v>604.2000000000003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721.6999999999988</v>
      </c>
      <c r="E64" s="96">
        <f>D64/D59*100</f>
        <v>8.985420635217057</v>
      </c>
      <c r="F64" s="96">
        <f t="shared" si="6"/>
        <v>94.13068997000134</v>
      </c>
      <c r="G64" s="96">
        <f t="shared" si="4"/>
        <v>87.6381299332117</v>
      </c>
      <c r="H64" s="94">
        <f t="shared" si="7"/>
        <v>44.999999999999545</v>
      </c>
      <c r="I64" s="94">
        <f t="shared" si="5"/>
        <v>101.80000000000166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7"/>
        <v>0</v>
      </c>
      <c r="I65" s="73">
        <f t="shared" si="5"/>
        <v>0</v>
      </c>
      <c r="J65" s="147"/>
      <c r="K65" s="153"/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6"/>
        <v>#DIV/0!</v>
      </c>
      <c r="G66" s="69" t="e">
        <f t="shared" si="4"/>
        <v>#DIV/0!</v>
      </c>
      <c r="H66" s="73">
        <f t="shared" si="7"/>
        <v>0</v>
      </c>
      <c r="I66" s="73">
        <f t="shared" si="5"/>
        <v>0</v>
      </c>
      <c r="J66" s="147"/>
      <c r="K66" s="153"/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6"/>
        <v>#DIV/0!</v>
      </c>
      <c r="G67" s="69" t="e">
        <f t="shared" si="4"/>
        <v>#DIV/0!</v>
      </c>
      <c r="H67" s="73">
        <f t="shared" si="7"/>
        <v>0</v>
      </c>
      <c r="I67" s="73">
        <f t="shared" si="5"/>
        <v>0</v>
      </c>
      <c r="J67" s="147"/>
      <c r="K67" s="153"/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6"/>
        <v>#DIV/0!</v>
      </c>
      <c r="G68" s="69" t="e">
        <f t="shared" si="4"/>
        <v>#DIV/0!</v>
      </c>
      <c r="H68" s="73">
        <f t="shared" si="7"/>
        <v>0</v>
      </c>
      <c r="I68" s="73">
        <f t="shared" si="5"/>
        <v>0</v>
      </c>
      <c r="J68" s="147"/>
      <c r="K68" s="153"/>
    </row>
    <row r="69" spans="1:11" ht="18.75" thickBot="1">
      <c r="A69" s="18" t="s">
        <v>20</v>
      </c>
      <c r="B69" s="36">
        <f>B70+B71</f>
        <v>417.363</v>
      </c>
      <c r="C69" s="36">
        <f>C70+C71</f>
        <v>368.6</v>
      </c>
      <c r="D69" s="37">
        <f>D70+D71</f>
        <v>227</v>
      </c>
      <c r="E69" s="27">
        <f>D69/D154*100</f>
        <v>0.011506163375253446</v>
      </c>
      <c r="F69" s="3">
        <f>D69/B69*100</f>
        <v>54.38910492784459</v>
      </c>
      <c r="G69" s="3">
        <f t="shared" si="4"/>
        <v>61.584373304395</v>
      </c>
      <c r="H69" s="37">
        <f>B69-D69</f>
        <v>190.363</v>
      </c>
      <c r="I69" s="37">
        <f t="shared" si="5"/>
        <v>141.60000000000002</v>
      </c>
      <c r="J69" s="152"/>
      <c r="K69" s="153"/>
    </row>
    <row r="70" spans="1:11" s="151" customFormat="1" ht="18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6"/>
        <v>100.01630221666088</v>
      </c>
      <c r="G70" s="96">
        <f t="shared" si="4"/>
        <v>99.73637961335677</v>
      </c>
      <c r="H70" s="94">
        <f t="shared" si="7"/>
        <v>-0.03700000000000614</v>
      </c>
      <c r="I70" s="94">
        <f t="shared" si="5"/>
        <v>0.5999999999999943</v>
      </c>
      <c r="J70" s="152"/>
      <c r="K70" s="153"/>
    </row>
    <row r="71" spans="1:11" s="151" customFormat="1" ht="18.75" thickBot="1">
      <c r="A71" s="92" t="s">
        <v>9</v>
      </c>
      <c r="B71" s="114">
        <f>167.3+23.1</f>
        <v>190.4</v>
      </c>
      <c r="C71" s="115">
        <f>293.1-30-14-37.9+0.1-20.9-49.4</f>
        <v>141</v>
      </c>
      <c r="D71" s="94">
        <v>0</v>
      </c>
      <c r="E71" s="96">
        <f>D71/D70*100</f>
        <v>0</v>
      </c>
      <c r="F71" s="96">
        <f t="shared" si="6"/>
        <v>0</v>
      </c>
      <c r="G71" s="96">
        <f t="shared" si="4"/>
        <v>0</v>
      </c>
      <c r="H71" s="94">
        <f t="shared" si="7"/>
        <v>190.4</v>
      </c>
      <c r="I71" s="94">
        <f t="shared" si="5"/>
        <v>141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4"/>
        <v>#DIV/0!</v>
      </c>
      <c r="H72" s="37">
        <f>B72-D72</f>
        <v>0</v>
      </c>
      <c r="I72" s="37">
        <f t="shared" si="5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4">
        <f t="shared" si="7"/>
        <v>0</v>
      </c>
      <c r="I73" s="34">
        <f t="shared" si="5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4">
        <f t="shared" si="7"/>
        <v>0</v>
      </c>
      <c r="I74" s="34">
        <f t="shared" si="5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4"/>
        <v>#DIV/0!</v>
      </c>
      <c r="H75" s="34"/>
      <c r="I75" s="34">
        <f t="shared" si="5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4"/>
        <v>#DIV/0!</v>
      </c>
      <c r="H76" s="34"/>
      <c r="I76" s="34">
        <f t="shared" si="5"/>
        <v>0</v>
      </c>
      <c r="J76" s="152"/>
      <c r="K76" s="153"/>
    </row>
    <row r="77" spans="1:11" s="29" customFormat="1" ht="19.5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5"/>
        <v>2500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37">
        <f>B79-D79</f>
        <v>0</v>
      </c>
      <c r="I79" s="37">
        <f aca="true" t="shared" si="9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8"/>
        <v>#DIV/0!</v>
      </c>
      <c r="H80" s="34">
        <f>B80-D80</f>
        <v>0</v>
      </c>
      <c r="I80" s="34">
        <f t="shared" si="9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8"/>
        <v>#DIV/0!</v>
      </c>
      <c r="H81" s="34">
        <f>B81-D81</f>
        <v>0</v>
      </c>
      <c r="I81" s="34">
        <f t="shared" si="9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8"/>
        <v>#DIV/0!</v>
      </c>
      <c r="H82" s="34"/>
      <c r="I82" s="34">
        <f t="shared" si="9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8"/>
        <v>#DIV/0!</v>
      </c>
      <c r="H83" s="34"/>
      <c r="I83" s="34">
        <f t="shared" si="9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8"/>
        <v>#DIV/0!</v>
      </c>
      <c r="H84" s="37"/>
      <c r="I84" s="37">
        <f t="shared" si="9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8"/>
        <v>#DIV/0!</v>
      </c>
      <c r="H85" s="49"/>
      <c r="I85" s="34">
        <f t="shared" si="9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8"/>
        <v>#DIV/0!</v>
      </c>
      <c r="H86" s="49"/>
      <c r="I86" s="34">
        <f t="shared" si="9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8"/>
        <v>#DIV/0!</v>
      </c>
      <c r="H87" s="37"/>
      <c r="I87" s="37">
        <f t="shared" si="9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8"/>
        <v>#DIV/0!</v>
      </c>
      <c r="H88" s="34"/>
      <c r="I88" s="34">
        <f t="shared" si="9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8"/>
        <v>#DIV/0!</v>
      </c>
      <c r="H89" s="34"/>
      <c r="I89" s="34">
        <f t="shared" si="9"/>
        <v>0</v>
      </c>
      <c r="J89" s="152"/>
      <c r="K89" s="153"/>
    </row>
    <row r="90" spans="1:11" ht="19.5" thickBot="1">
      <c r="A90" s="11" t="s">
        <v>10</v>
      </c>
      <c r="B90" s="42">
        <f>175244.2+100-321+14144.1+461</f>
        <v>189628.30000000002</v>
      </c>
      <c r="C90" s="36">
        <f>200580.6+2044.4+100+113.7+1216.5+2914.6</f>
        <v>206969.80000000002</v>
      </c>
      <c r="D90" s="37">
        <f>163043.6+2929.1+4743+0.1+24.6+255.3+62.3+21.8+32.8+6.6+402.7+1480.2+3226+109.1+17.7+22.1+585.8+20.3+65+7.6+6.1+2192.3+4645.9+2095+0.4+0.2+79.2+340.9+68.6+54.4+50.2+826.6+3156+1398.1+40.6+42.5+252+228.9+1344.2+2102.4</f>
        <v>195980.20000000004</v>
      </c>
      <c r="E90" s="3">
        <f>D90/D154*100</f>
        <v>9.933833478038968</v>
      </c>
      <c r="F90" s="3">
        <f aca="true" t="shared" si="10" ref="F90:F96">D90/B90*100</f>
        <v>103.34965825248659</v>
      </c>
      <c r="G90" s="3">
        <f t="shared" si="8"/>
        <v>94.69023983209146</v>
      </c>
      <c r="H90" s="37">
        <f aca="true" t="shared" si="11" ref="H90:H96">B90-D90</f>
        <v>-6351.900000000023</v>
      </c>
      <c r="I90" s="37">
        <f t="shared" si="9"/>
        <v>10989.599999999977</v>
      </c>
      <c r="J90" s="152"/>
      <c r="K90" s="153"/>
    </row>
    <row r="91" spans="1:11" s="151" customFormat="1" ht="21.75" customHeight="1">
      <c r="A91" s="92" t="s">
        <v>3</v>
      </c>
      <c r="B91" s="114">
        <f>163944.6+273.6+100-321+12937.7+490+80</f>
        <v>177504.90000000002</v>
      </c>
      <c r="C91" s="115">
        <f>190000-46.7+2697.6</f>
        <v>192650.9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+750+2916.3+1377.4+0.6+1129.1+1990.1</f>
        <v>183853.91000000006</v>
      </c>
      <c r="E91" s="96">
        <f>D91/D90*100</f>
        <v>93.81249228238364</v>
      </c>
      <c r="F91" s="96">
        <f t="shared" si="10"/>
        <v>103.57680830219338</v>
      </c>
      <c r="G91" s="96">
        <f t="shared" si="8"/>
        <v>95.43371455830213</v>
      </c>
      <c r="H91" s="94">
        <f t="shared" si="11"/>
        <v>-6349.010000000038</v>
      </c>
      <c r="I91" s="94">
        <f t="shared" si="9"/>
        <v>8796.989999999932</v>
      </c>
      <c r="K91" s="153"/>
    </row>
    <row r="92" spans="1:11" s="151" customFormat="1" ht="18">
      <c r="A92" s="92" t="s">
        <v>25</v>
      </c>
      <c r="B92" s="114">
        <f>2081.4-200+447.3-40</f>
        <v>2288.7000000000003</v>
      </c>
      <c r="C92" s="115">
        <f>2776.4-312</f>
        <v>2464.4</v>
      </c>
      <c r="D92" s="94">
        <f>57.2+3.4+167+1.4+0.3+83.4+86.9+53.1+5.3+4.7+17+71.3+284.2+22.2+4.8+1.6+54.8+7+38.2+1.9+190+51.9+21+0.9+36.9+5.5+20.1+0.9+46.6+43.3-17.3+22+2.1+65.9+0.7+4.5+1+37+52.4+38.3+64.1+5+1.1+50.5+3.4+14.9+1.4+1.3+61.1+6.3+24+197.7+1.8+68</f>
        <v>2090</v>
      </c>
      <c r="E92" s="96">
        <f>D92/D90*100</f>
        <v>1.0664342622366951</v>
      </c>
      <c r="F92" s="96">
        <f t="shared" si="10"/>
        <v>91.31821558089744</v>
      </c>
      <c r="G92" s="96">
        <f t="shared" si="8"/>
        <v>84.80766109397825</v>
      </c>
      <c r="H92" s="94">
        <f t="shared" si="11"/>
        <v>198.70000000000027</v>
      </c>
      <c r="I92" s="94">
        <f t="shared" si="9"/>
        <v>374.4000000000001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8"/>
        <v>#DIV/0!</v>
      </c>
      <c r="H93" s="94">
        <f t="shared" si="11"/>
        <v>0</v>
      </c>
      <c r="I93" s="94">
        <f t="shared" si="9"/>
        <v>0</v>
      </c>
      <c r="K93" s="153"/>
    </row>
    <row r="94" spans="1:11" s="151" customFormat="1" ht="18.75" thickBot="1">
      <c r="A94" s="92" t="s">
        <v>27</v>
      </c>
      <c r="B94" s="115">
        <f>B90-B91-B92-B93</f>
        <v>9834.699999999993</v>
      </c>
      <c r="C94" s="115">
        <f>C90-C91-C92-C93</f>
        <v>11854.500000000024</v>
      </c>
      <c r="D94" s="115">
        <f>D90-D91-D92-D93</f>
        <v>10036.289999999979</v>
      </c>
      <c r="E94" s="96">
        <f>D94/D90*100</f>
        <v>5.121073455379664</v>
      </c>
      <c r="F94" s="96">
        <f t="shared" si="10"/>
        <v>102.0497829115274</v>
      </c>
      <c r="G94" s="96">
        <f>D94/C94*100</f>
        <v>84.66228014677935</v>
      </c>
      <c r="H94" s="94">
        <f t="shared" si="11"/>
        <v>-201.5899999999856</v>
      </c>
      <c r="I94" s="94">
        <f>C94-D94</f>
        <v>1818.2100000000446</v>
      </c>
      <c r="K94" s="153"/>
    </row>
    <row r="95" spans="1:11" ht="18.75">
      <c r="A95" s="76" t="s">
        <v>12</v>
      </c>
      <c r="B95" s="84">
        <f>40899.5-372</f>
        <v>40527.5</v>
      </c>
      <c r="C95" s="79">
        <f>46414.5+100+39.4+1153.5-64.6-244.3+39946.8-372-3302.4</f>
        <v>83670.90000000001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+496.4+545.7+2.3+279.1+62.4+635+499.2+419.8</f>
        <v>42458.50000000001</v>
      </c>
      <c r="E95" s="75">
        <f>D95/D154*100</f>
        <v>2.1521340866440464</v>
      </c>
      <c r="F95" s="77">
        <f t="shared" si="10"/>
        <v>104.76466596755292</v>
      </c>
      <c r="G95" s="74">
        <f>D95/C95*100</f>
        <v>50.74464359771438</v>
      </c>
      <c r="H95" s="78">
        <f t="shared" si="11"/>
        <v>-1931.0000000000073</v>
      </c>
      <c r="I95" s="80">
        <f>C95-D95</f>
        <v>41212.4</v>
      </c>
      <c r="J95" s="152"/>
      <c r="K95" s="153"/>
    </row>
    <row r="96" spans="1:11" s="151" customFormat="1" ht="18.75" thickBot="1">
      <c r="A96" s="117" t="s">
        <v>83</v>
      </c>
      <c r="B96" s="118">
        <v>10114.6</v>
      </c>
      <c r="C96" s="119">
        <f>12814.2-145.8</f>
        <v>12668.400000000001</v>
      </c>
      <c r="D96" s="120">
        <f>194.6+1234+3.4+0.5+79.6+1026.4+0.7+86.4+939.3+4.2+87.7+624.7+8+489.4+90.3+1.9+597.9+5.5+67.2+2.1+31.9+0.2+90.5+32.4+530.2+66+90.3+454.6+5.4+212.8+729.6+32.4+38.7+3.5+1+0.1+88.2+719.7+5.7+3.5+34.6+90.6+1035.4+1.6-0.1+1.4+37.3+88.3+1136.4+1.1+7.5+90.9</f>
        <v>11205.499999999996</v>
      </c>
      <c r="E96" s="121">
        <f>D96/D95*100</f>
        <v>26.391653025895863</v>
      </c>
      <c r="F96" s="122">
        <f t="shared" si="10"/>
        <v>110.78539932374977</v>
      </c>
      <c r="G96" s="123">
        <f>D96/C96*100</f>
        <v>88.45236967572855</v>
      </c>
      <c r="H96" s="124">
        <f t="shared" si="11"/>
        <v>-1090.899999999996</v>
      </c>
      <c r="I96" s="113">
        <f>C96-D96</f>
        <v>1462.900000000005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/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/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/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/>
    </row>
    <row r="102" spans="1:11" s="29" customFormat="1" ht="19.5" thickBot="1">
      <c r="A102" s="11" t="s">
        <v>11</v>
      </c>
      <c r="B102" s="83">
        <f>11280.9-100+784.6-461</f>
        <v>11504.5</v>
      </c>
      <c r="C102" s="66">
        <f>11266.5-91.2+1707.2+14.9+0.2+1010.6-1494.7</f>
        <v>12413.5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+1.8+22.7+47.5+12+106.1+0.5+201.7+219.3+51.6</f>
        <v>11425.7</v>
      </c>
      <c r="E102" s="16">
        <f>D102/D154*100</f>
        <v>0.5791452461525697</v>
      </c>
      <c r="F102" s="16">
        <f>D102/B102*100</f>
        <v>99.31505063236126</v>
      </c>
      <c r="G102" s="16">
        <f aca="true" t="shared" si="12" ref="G102:G152">D102/C102*100</f>
        <v>92.04253433761632</v>
      </c>
      <c r="H102" s="62">
        <f aca="true" t="shared" si="13" ref="H102:H108">B102-D102</f>
        <v>78.79999999999927</v>
      </c>
      <c r="I102" s="62">
        <f aca="true" t="shared" si="14" ref="I102:I152">C102-D102</f>
        <v>987.7999999999993</v>
      </c>
      <c r="J102" s="147"/>
      <c r="K102" s="153"/>
    </row>
    <row r="103" spans="1:11" s="151" customFormat="1" ht="18.75" customHeight="1">
      <c r="A103" s="92" t="s">
        <v>3</v>
      </c>
      <c r="B103" s="106">
        <f>291.1+36.3</f>
        <v>327.40000000000003</v>
      </c>
      <c r="C103" s="107">
        <v>363.8</v>
      </c>
      <c r="D103" s="107">
        <f>31.2+4.8+33.9+5.2+30.9+10.3+19.9+19.5+19.7+20.2+35.3+10.4+50+4.2+25.5+37.3</f>
        <v>358.29999999999995</v>
      </c>
      <c r="E103" s="108">
        <f>D103/D102*100</f>
        <v>3.135912898115651</v>
      </c>
      <c r="F103" s="96">
        <f>D103/B103*100</f>
        <v>109.43799633475868</v>
      </c>
      <c r="G103" s="108">
        <f>D103/C103*100</f>
        <v>98.4881803188565</v>
      </c>
      <c r="H103" s="107">
        <f t="shared" si="13"/>
        <v>-30.89999999999992</v>
      </c>
      <c r="I103" s="107">
        <f t="shared" si="14"/>
        <v>5.500000000000057</v>
      </c>
      <c r="J103" s="152"/>
      <c r="K103" s="153"/>
    </row>
    <row r="104" spans="1:11" s="151" customFormat="1" ht="18">
      <c r="A104" s="109" t="s">
        <v>48</v>
      </c>
      <c r="B104" s="93">
        <f>9329.9-100+615.5-461</f>
        <v>9384.4</v>
      </c>
      <c r="C104" s="94">
        <f>8949.2-91.2+1682.1+14.9+68.9-484.8</f>
        <v>10139.1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+1.8+22+20+188.1+23+51.6</f>
        <v>9404.199999999997</v>
      </c>
      <c r="E104" s="96">
        <f>D104/D102*100</f>
        <v>82.30742974172259</v>
      </c>
      <c r="F104" s="96">
        <f aca="true" t="shared" si="15" ref="F104:F152">D104/B104*100</f>
        <v>100.21098844891519</v>
      </c>
      <c r="G104" s="96">
        <f t="shared" si="12"/>
        <v>92.75182215384005</v>
      </c>
      <c r="H104" s="94">
        <f t="shared" si="13"/>
        <v>-19.799999999997453</v>
      </c>
      <c r="I104" s="94">
        <f t="shared" si="14"/>
        <v>734.9000000000033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3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1792.7000000000007</v>
      </c>
      <c r="C106" s="111">
        <f>C102-C103-C104</f>
        <v>1910.6000000000004</v>
      </c>
      <c r="D106" s="111">
        <f>D102-D103-D104</f>
        <v>1663.2000000000044</v>
      </c>
      <c r="E106" s="112">
        <f>D106/D102*100</f>
        <v>14.556657360161779</v>
      </c>
      <c r="F106" s="112">
        <f t="shared" si="15"/>
        <v>92.77625927372141</v>
      </c>
      <c r="G106" s="112">
        <f t="shared" si="12"/>
        <v>87.05118810844782</v>
      </c>
      <c r="H106" s="113">
        <f t="shared" si="13"/>
        <v>129.49999999999636</v>
      </c>
      <c r="I106" s="113">
        <f t="shared" si="14"/>
        <v>247.399999999996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517543.0920600001</v>
      </c>
      <c r="C107" s="64">
        <f>SUM(C108:C151)-C115-C120+C152-C142-C143-C109-C112-C123-C124-C140-C133-C131-C138-C118</f>
        <v>584005.7999999999</v>
      </c>
      <c r="D107" s="64">
        <f>SUM(D108:D151)-D115-D120+D152-D142-D143-D109-D112-D123-D124-D140-D133-D131-D138-D118</f>
        <v>512367.5</v>
      </c>
      <c r="E107" s="65">
        <f>D107/D154*100</f>
        <v>25.970855344361983</v>
      </c>
      <c r="F107" s="65">
        <f>D107/B107*100</f>
        <v>98.99996886454431</v>
      </c>
      <c r="G107" s="65">
        <f t="shared" si="12"/>
        <v>87.7332896351372</v>
      </c>
      <c r="H107" s="64">
        <f t="shared" si="13"/>
        <v>5175.592060000112</v>
      </c>
      <c r="I107" s="64">
        <f t="shared" si="14"/>
        <v>71638.29999999993</v>
      </c>
      <c r="J107" s="144"/>
      <c r="K107" s="153"/>
      <c r="L107" s="86"/>
    </row>
    <row r="108" spans="1:12" s="151" customFormat="1" ht="37.5">
      <c r="A108" s="87" t="s">
        <v>52</v>
      </c>
      <c r="B108" s="141">
        <f>3293.6+593</f>
        <v>3886.6</v>
      </c>
      <c r="C108" s="138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+9+0.3+46.6+0.2+225.4+152.7</f>
        <v>2992.4</v>
      </c>
      <c r="E108" s="89">
        <f>D108/D107*100</f>
        <v>0.5840339209649323</v>
      </c>
      <c r="F108" s="89">
        <f t="shared" si="15"/>
        <v>76.99274430093142</v>
      </c>
      <c r="G108" s="89">
        <f t="shared" si="12"/>
        <v>67.10921731329896</v>
      </c>
      <c r="H108" s="90">
        <f t="shared" si="13"/>
        <v>894.1999999999998</v>
      </c>
      <c r="I108" s="90">
        <f t="shared" si="14"/>
        <v>1466.6</v>
      </c>
      <c r="K108" s="153"/>
      <c r="L108" s="91"/>
    </row>
    <row r="109" spans="1:12" s="151" customFormat="1" ht="18.7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47.8+0.9+59.7+88.3+0.1+59.2+38.8+107.4+24+91.1+38+42.5+2+31.4+47.6+36.5-21.6+46.3+2.4+36.1+37.9+4+3.5+46.3+43.8+46.6+87.7+141.4</f>
        <v>1189.7</v>
      </c>
      <c r="E109" s="96">
        <f>D109/D108*100</f>
        <v>39.75738537628659</v>
      </c>
      <c r="F109" s="96">
        <f t="shared" si="15"/>
        <v>68.85634911448084</v>
      </c>
      <c r="G109" s="96">
        <f t="shared" si="12"/>
        <v>59.634085213032584</v>
      </c>
      <c r="H109" s="94">
        <f aca="true" t="shared" si="16" ref="H109:H152">B109-D109</f>
        <v>538.1000000000001</v>
      </c>
      <c r="I109" s="94">
        <f t="shared" si="14"/>
        <v>805.3</v>
      </c>
      <c r="K109" s="153"/>
      <c r="L109" s="91"/>
    </row>
    <row r="110" spans="1:12" s="151" customFormat="1" ht="34.5" customHeight="1" hidden="1">
      <c r="A110" s="97" t="s">
        <v>78</v>
      </c>
      <c r="B110" s="140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2"/>
        <v>#DIV/0!</v>
      </c>
      <c r="H110" s="90">
        <f t="shared" si="16"/>
        <v>0</v>
      </c>
      <c r="I110" s="90">
        <f t="shared" si="14"/>
        <v>0</v>
      </c>
      <c r="K110" s="153"/>
      <c r="L110" s="91"/>
    </row>
    <row r="111" spans="1:12" s="85" customFormat="1" ht="34.5" customHeight="1">
      <c r="A111" s="97" t="s">
        <v>93</v>
      </c>
      <c r="B111" s="142">
        <f>170.3+14.9</f>
        <v>185.20000000000002</v>
      </c>
      <c r="C111" s="98">
        <f>200-200</f>
        <v>0</v>
      </c>
      <c r="D111" s="99"/>
      <c r="E111" s="89">
        <f>D111/D107*100</f>
        <v>0</v>
      </c>
      <c r="F111" s="89">
        <f t="shared" si="15"/>
        <v>0</v>
      </c>
      <c r="G111" s="89" t="e">
        <f t="shared" si="12"/>
        <v>#DIV/0!</v>
      </c>
      <c r="H111" s="90">
        <f t="shared" si="16"/>
        <v>185.20000000000002</v>
      </c>
      <c r="I111" s="90">
        <f t="shared" si="14"/>
        <v>0</v>
      </c>
      <c r="K111" s="153"/>
      <c r="L111" s="91"/>
    </row>
    <row r="112" spans="1:12" s="151" customFormat="1" ht="18.75" hidden="1">
      <c r="A112" s="92" t="s">
        <v>25</v>
      </c>
      <c r="B112" s="139"/>
      <c r="C112" s="94"/>
      <c r="D112" s="95"/>
      <c r="E112" s="96"/>
      <c r="F112" s="96" t="e">
        <f t="shared" si="15"/>
        <v>#DIV/0!</v>
      </c>
      <c r="G112" s="96" t="e">
        <f t="shared" si="12"/>
        <v>#DIV/0!</v>
      </c>
      <c r="H112" s="94">
        <f t="shared" si="16"/>
        <v>0</v>
      </c>
      <c r="I112" s="94">
        <f t="shared" si="14"/>
        <v>0</v>
      </c>
      <c r="K112" s="153"/>
      <c r="L112" s="91"/>
    </row>
    <row r="113" spans="1:12" s="151" customFormat="1" ht="18.75">
      <c r="A113" s="97" t="s">
        <v>89</v>
      </c>
      <c r="B113" s="142">
        <v>64.296</v>
      </c>
      <c r="C113" s="90">
        <v>64.3</v>
      </c>
      <c r="D113" s="88">
        <f>6.8+7+3.6+16.9+0.1+11+1+17.9</f>
        <v>64.3</v>
      </c>
      <c r="E113" s="89">
        <f>D113/D107*100</f>
        <v>0.01254958599052438</v>
      </c>
      <c r="F113" s="89">
        <f t="shared" si="15"/>
        <v>100.00622122682591</v>
      </c>
      <c r="G113" s="89">
        <f t="shared" si="12"/>
        <v>100</v>
      </c>
      <c r="H113" s="90">
        <f t="shared" si="16"/>
        <v>-0.003999999999990678</v>
      </c>
      <c r="I113" s="90">
        <f t="shared" si="14"/>
        <v>0</v>
      </c>
      <c r="K113" s="153"/>
      <c r="L113" s="91"/>
    </row>
    <row r="114" spans="1:12" s="151" customFormat="1" ht="37.5">
      <c r="A114" s="97" t="s">
        <v>38</v>
      </c>
      <c r="B114" s="142">
        <f>2758.7+278.3</f>
        <v>3037</v>
      </c>
      <c r="C114" s="90">
        <f>3311.5-49.5</f>
        <v>3262</v>
      </c>
      <c r="D114" s="88">
        <f>136.4+10+40+6.6+6.1+0.2+177.4+10+1.8+25.1+29.4+48.1+8.1+193.1+10+0.1+17.8+8.8+132.4+79.7+12.6+4.3+3.5+212.4+8.1+0.4+10.8+218.3+5.3+16.4+166.6+54.3+12.8+52.1+1.1+0.2+214.8+15.7+3.7+4.8+133.9+54.7+10.7+6.3+7.4+1.2+219.4+17.7+3.9+0.9+21.1+3.2+4.4+207.3+10.7+3.5+15.7+17.7+142.4+10</f>
        <v>2851.399999999999</v>
      </c>
      <c r="E114" s="89">
        <f>D114/D107*100</f>
        <v>0.5565146110945756</v>
      </c>
      <c r="F114" s="89">
        <f t="shared" si="15"/>
        <v>93.88870595982875</v>
      </c>
      <c r="G114" s="89">
        <f t="shared" si="12"/>
        <v>87.41263028816675</v>
      </c>
      <c r="H114" s="90">
        <f t="shared" si="16"/>
        <v>185.60000000000082</v>
      </c>
      <c r="I114" s="90">
        <f t="shared" si="14"/>
        <v>410.6000000000008</v>
      </c>
      <c r="K114" s="153"/>
      <c r="L114" s="91"/>
    </row>
    <row r="115" spans="1:12" s="151" customFormat="1" ht="18.75" hidden="1">
      <c r="A115" s="100" t="s">
        <v>43</v>
      </c>
      <c r="B115" s="139"/>
      <c r="C115" s="94"/>
      <c r="D115" s="95"/>
      <c r="E115" s="89"/>
      <c r="F115" s="89" t="e">
        <f t="shared" si="15"/>
        <v>#DIV/0!</v>
      </c>
      <c r="G115" s="96" t="e">
        <f t="shared" si="12"/>
        <v>#DIV/0!</v>
      </c>
      <c r="H115" s="94">
        <f t="shared" si="16"/>
        <v>0</v>
      </c>
      <c r="I115" s="94">
        <f t="shared" si="14"/>
        <v>0</v>
      </c>
      <c r="K115" s="153"/>
      <c r="L115" s="91"/>
    </row>
    <row r="116" spans="1:12" s="85" customFormat="1" ht="18.75" customHeight="1" hidden="1">
      <c r="A116" s="97" t="s">
        <v>90</v>
      </c>
      <c r="B116" s="140"/>
      <c r="C116" s="98"/>
      <c r="D116" s="99"/>
      <c r="E116" s="101">
        <f>D116/D107*100</f>
        <v>0</v>
      </c>
      <c r="F116" s="89" t="e">
        <f t="shared" si="15"/>
        <v>#DIV/0!</v>
      </c>
      <c r="G116" s="101" t="e">
        <f t="shared" si="12"/>
        <v>#DIV/0!</v>
      </c>
      <c r="H116" s="98">
        <f t="shared" si="16"/>
        <v>0</v>
      </c>
      <c r="I116" s="98">
        <f t="shared" si="14"/>
        <v>0</v>
      </c>
      <c r="K116" s="153"/>
      <c r="L116" s="91"/>
    </row>
    <row r="117" spans="1:12" s="151" customFormat="1" ht="37.5">
      <c r="A117" s="97" t="s">
        <v>47</v>
      </c>
      <c r="B117" s="142">
        <f>200-130</f>
        <v>70</v>
      </c>
      <c r="C117" s="90">
        <f>200-130</f>
        <v>70</v>
      </c>
      <c r="D117" s="88">
        <f>15+40+1.2+1.8+2.6+2.4+2.8+3.4</f>
        <v>69.2</v>
      </c>
      <c r="E117" s="89">
        <f>D117/D107*100</f>
        <v>0.013505930801621883</v>
      </c>
      <c r="F117" s="89">
        <f>D117/B117*100</f>
        <v>98.85714285714286</v>
      </c>
      <c r="G117" s="89">
        <f t="shared" si="12"/>
        <v>98.85714285714286</v>
      </c>
      <c r="H117" s="90">
        <f t="shared" si="16"/>
        <v>0.7999999999999972</v>
      </c>
      <c r="I117" s="90">
        <f t="shared" si="14"/>
        <v>0.7999999999999972</v>
      </c>
      <c r="K117" s="153"/>
      <c r="L117" s="91"/>
    </row>
    <row r="118" spans="1:12" s="151" customFormat="1" ht="18.75">
      <c r="A118" s="100" t="s">
        <v>88</v>
      </c>
      <c r="B118" s="149">
        <v>40</v>
      </c>
      <c r="C118" s="150">
        <v>40</v>
      </c>
      <c r="D118" s="95">
        <v>40</v>
      </c>
      <c r="E118" s="96">
        <f>D118/D117*100</f>
        <v>57.80346820809248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42">
        <f>388.3+52.7</f>
        <v>441</v>
      </c>
      <c r="C119" s="98">
        <v>491.6</v>
      </c>
      <c r="D119" s="88">
        <f>45.4+9.9+47+6.4+0.4+0.4+45.4+0.4+2.9+45.4+4+6.8+0.4+45.4+0.1+5.8+0.8+0.4+0.8+0.7+13+0.4+5+0.3+0.8+45.4+5+1.1+45.4+0.3+3.7+0.8+3.3+45.4+1.1+1.3+0.8+0.4+45.4+2.8</f>
        <v>490.50000000000006</v>
      </c>
      <c r="E119" s="89">
        <f>D119/D107*100</f>
        <v>0.09573206731496436</v>
      </c>
      <c r="F119" s="89">
        <f t="shared" si="15"/>
        <v>111.22448979591839</v>
      </c>
      <c r="G119" s="89">
        <f t="shared" si="12"/>
        <v>99.77624084621645</v>
      </c>
      <c r="H119" s="90">
        <f t="shared" si="16"/>
        <v>-49.50000000000006</v>
      </c>
      <c r="I119" s="90">
        <f t="shared" si="14"/>
        <v>1.099999999999966</v>
      </c>
      <c r="K119" s="153"/>
      <c r="L119" s="91"/>
    </row>
    <row r="120" spans="1:12" s="103" customFormat="1" ht="18.75">
      <c r="A120" s="100" t="s">
        <v>43</v>
      </c>
      <c r="B120" s="93">
        <v>363.4</v>
      </c>
      <c r="C120" s="94">
        <v>408.8</v>
      </c>
      <c r="D120" s="95">
        <f>45.4+45.4+45.4+45.4+45.4+0.1+45.4+45.4+45.4+45.4</f>
        <v>408.69999999999993</v>
      </c>
      <c r="E120" s="96">
        <f>D120/D119*100</f>
        <v>83.32313965341486</v>
      </c>
      <c r="F120" s="96">
        <f t="shared" si="15"/>
        <v>112.4656026417171</v>
      </c>
      <c r="G120" s="96">
        <f t="shared" si="12"/>
        <v>99.97553816046964</v>
      </c>
      <c r="H120" s="94">
        <f t="shared" si="16"/>
        <v>-45.299999999999955</v>
      </c>
      <c r="I120" s="94">
        <f t="shared" si="14"/>
        <v>0.10000000000007958</v>
      </c>
      <c r="K120" s="153"/>
      <c r="L120" s="91"/>
    </row>
    <row r="121" spans="1:12" s="102" customFormat="1" ht="18.75">
      <c r="A121" s="97" t="s">
        <v>105</v>
      </c>
      <c r="B121" s="142">
        <f>275+22</f>
        <v>297</v>
      </c>
      <c r="C121" s="98">
        <f>317-111</f>
        <v>206</v>
      </c>
      <c r="D121" s="88">
        <f>3.6+3+7+40+10+32</f>
        <v>95.6</v>
      </c>
      <c r="E121" s="89">
        <f>D121/D107*100</f>
        <v>0.018658482436922714</v>
      </c>
      <c r="F121" s="89">
        <f t="shared" si="15"/>
        <v>32.18855218855219</v>
      </c>
      <c r="G121" s="89">
        <f t="shared" si="12"/>
        <v>46.40776699029126</v>
      </c>
      <c r="H121" s="90">
        <f t="shared" si="16"/>
        <v>201.4</v>
      </c>
      <c r="I121" s="90">
        <f t="shared" si="14"/>
        <v>110.4</v>
      </c>
      <c r="K121" s="153"/>
      <c r="L121" s="91"/>
    </row>
    <row r="122" spans="1:13" s="102" customFormat="1" ht="21.75" customHeight="1">
      <c r="A122" s="97" t="s">
        <v>94</v>
      </c>
      <c r="B122" s="142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0.09210186048100241</v>
      </c>
      <c r="F122" s="89">
        <f t="shared" si="15"/>
        <v>84.26800762144218</v>
      </c>
      <c r="G122" s="89">
        <f t="shared" si="12"/>
        <v>84.26785714285715</v>
      </c>
      <c r="H122" s="90">
        <f t="shared" si="16"/>
        <v>88.09899999999999</v>
      </c>
      <c r="I122" s="90">
        <f t="shared" si="14"/>
        <v>88.09999999999997</v>
      </c>
      <c r="J122" s="144"/>
      <c r="K122" s="153"/>
      <c r="L122" s="153"/>
      <c r="M122" s="153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39"/>
      <c r="C123" s="94"/>
      <c r="D123" s="95"/>
      <c r="E123" s="89"/>
      <c r="F123" s="96" t="e">
        <f>D123/B123*100</f>
        <v>#DIV/0!</v>
      </c>
      <c r="G123" s="96" t="e">
        <f t="shared" si="12"/>
        <v>#DIV/0!</v>
      </c>
      <c r="H123" s="94">
        <f t="shared" si="16"/>
        <v>0</v>
      </c>
      <c r="I123" s="94">
        <f t="shared" si="14"/>
        <v>0</v>
      </c>
      <c r="K123" s="153"/>
      <c r="L123" s="91"/>
    </row>
    <row r="124" spans="1:12" s="104" customFormat="1" ht="18.75" hidden="1">
      <c r="A124" s="92" t="s">
        <v>49</v>
      </c>
      <c r="B124" s="139"/>
      <c r="C124" s="94"/>
      <c r="D124" s="95"/>
      <c r="E124" s="89"/>
      <c r="F124" s="96" t="e">
        <f>D124/B124*100</f>
        <v>#DIV/0!</v>
      </c>
      <c r="G124" s="96" t="e">
        <f t="shared" si="12"/>
        <v>#DIV/0!</v>
      </c>
      <c r="H124" s="94">
        <f t="shared" si="16"/>
        <v>0</v>
      </c>
      <c r="I124" s="94">
        <f t="shared" si="14"/>
        <v>0</v>
      </c>
      <c r="K124" s="153"/>
      <c r="L124" s="91"/>
    </row>
    <row r="125" spans="1:12" s="102" customFormat="1" ht="37.5">
      <c r="A125" s="97" t="s">
        <v>95</v>
      </c>
      <c r="B125" s="142">
        <v>50723.5</v>
      </c>
      <c r="C125" s="98">
        <f>45511.3+17000-4000</f>
        <v>58511.3</v>
      </c>
      <c r="D125" s="99">
        <f>3529.6+2264.3+1265.3+2996.5+533.1+738.7+2380.2+1722.3+1049.4+1874.1+1476.2+1455.5+94.4+1416+1268.6+1913.6+457.2+1108.2+2510.4+39.4+1337.2+1221+3120.4+2083.6+2630.6+1941.5+3537.3+439.6+1361.8-39.4+9601.4</f>
        <v>57328.00000000001</v>
      </c>
      <c r="E125" s="101">
        <f>D125/D107*100</f>
        <v>11.188843945019933</v>
      </c>
      <c r="F125" s="89">
        <f t="shared" si="15"/>
        <v>113.02059203327848</v>
      </c>
      <c r="G125" s="89">
        <f t="shared" si="12"/>
        <v>97.97765559814943</v>
      </c>
      <c r="H125" s="90">
        <f t="shared" si="16"/>
        <v>-6604.500000000007</v>
      </c>
      <c r="I125" s="90">
        <f t="shared" si="14"/>
        <v>1183.2999999999956</v>
      </c>
      <c r="K125" s="153"/>
      <c r="L125" s="91"/>
    </row>
    <row r="126" spans="1:12" s="102" customFormat="1" ht="18.75">
      <c r="A126" s="97" t="s">
        <v>91</v>
      </c>
      <c r="B126" s="142">
        <f>685+10</f>
        <v>695</v>
      </c>
      <c r="C126" s="98">
        <v>700</v>
      </c>
      <c r="D126" s="99">
        <f>9.6+1.5</f>
        <v>11.1</v>
      </c>
      <c r="E126" s="101">
        <f>D126/D107*100</f>
        <v>0.002166413755751487</v>
      </c>
      <c r="F126" s="89">
        <f t="shared" si="15"/>
        <v>1.5971223021582732</v>
      </c>
      <c r="G126" s="89">
        <f t="shared" si="12"/>
        <v>1.5857142857142859</v>
      </c>
      <c r="H126" s="90">
        <f t="shared" si="16"/>
        <v>683.9</v>
      </c>
      <c r="I126" s="90">
        <f t="shared" si="14"/>
        <v>688.9</v>
      </c>
      <c r="K126" s="153"/>
      <c r="L126" s="91"/>
    </row>
    <row r="127" spans="1:17" s="102" customFormat="1" ht="37.5">
      <c r="A127" s="97" t="s">
        <v>100</v>
      </c>
      <c r="B127" s="142">
        <f>200+250</f>
        <v>450</v>
      </c>
      <c r="C127" s="98">
        <f>200+250</f>
        <v>450</v>
      </c>
      <c r="D127" s="99">
        <f>63.1+15.9+49.6+42.2+10.6</f>
        <v>181.4</v>
      </c>
      <c r="E127" s="101">
        <f>D127/D107*100</f>
        <v>0.03540427525165043</v>
      </c>
      <c r="F127" s="89">
        <f t="shared" si="15"/>
        <v>40.31111111111112</v>
      </c>
      <c r="G127" s="89">
        <f t="shared" si="12"/>
        <v>40.31111111111112</v>
      </c>
      <c r="H127" s="90">
        <f t="shared" si="16"/>
        <v>268.6</v>
      </c>
      <c r="I127" s="90">
        <f t="shared" si="14"/>
        <v>268.6</v>
      </c>
      <c r="K127" s="153"/>
      <c r="L127" s="91"/>
      <c r="Q127" s="91"/>
    </row>
    <row r="128" spans="1:17" s="102" customFormat="1" ht="37.5">
      <c r="A128" s="97" t="s">
        <v>85</v>
      </c>
      <c r="B128" s="142">
        <v>111.1</v>
      </c>
      <c r="C128" s="98">
        <f>111.1</f>
        <v>111.1</v>
      </c>
      <c r="D128" s="99">
        <f>34.5+22.7</f>
        <v>57.2</v>
      </c>
      <c r="E128" s="101">
        <f>D128/D107*100</f>
        <v>0.01116386187648514</v>
      </c>
      <c r="F128" s="89">
        <f t="shared" si="15"/>
        <v>51.48514851485149</v>
      </c>
      <c r="G128" s="89">
        <f t="shared" si="12"/>
        <v>51.48514851485149</v>
      </c>
      <c r="H128" s="90">
        <f t="shared" si="16"/>
        <v>53.89999999999999</v>
      </c>
      <c r="I128" s="90">
        <f t="shared" si="14"/>
        <v>53.89999999999999</v>
      </c>
      <c r="K128" s="153"/>
      <c r="L128" s="91"/>
      <c r="Q128" s="91"/>
    </row>
    <row r="129" spans="1:12" s="102" customFormat="1" ht="18.75" hidden="1">
      <c r="A129" s="100" t="s">
        <v>83</v>
      </c>
      <c r="B129" s="140"/>
      <c r="C129" s="98"/>
      <c r="D129" s="99"/>
      <c r="E129" s="101">
        <f>D129/D108*100</f>
        <v>0</v>
      </c>
      <c r="F129" s="89" t="e">
        <f t="shared" si="15"/>
        <v>#DIV/0!</v>
      </c>
      <c r="G129" s="89" t="e">
        <f t="shared" si="12"/>
        <v>#DIV/0!</v>
      </c>
      <c r="H129" s="90">
        <f t="shared" si="16"/>
        <v>0</v>
      </c>
      <c r="I129" s="90">
        <f t="shared" si="14"/>
        <v>0</v>
      </c>
      <c r="K129" s="153"/>
      <c r="L129" s="91"/>
    </row>
    <row r="130" spans="1:17" s="102" customFormat="1" ht="37.5">
      <c r="A130" s="97" t="s">
        <v>57</v>
      </c>
      <c r="B130" s="142">
        <f>879.4+25.3-7.9</f>
        <v>896.8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7+4.2+0.1+12.3+0.2+7.1+17.8+14.9+1.7+0.1+7.4+7+2.7+3.7+7.1+5.3+31.3+16.4+2.5+1.7+26.7+0.1+13.8+0.1+2.9+6.5+0.6+7+4.8+0.1+17.3+0.5+7.6+29.1+0.2+0.1+7.4+1+0.1+0.2+0.1+0.4+7.4+2.8+0.8+6.9+26.7+15.1+8.8+14.7+0.1+0.2+9.7+46+7.9+0.3+150.5+1.5+9.6+7.4+8.1+7.7+48.5-0.1</f>
        <v>657.7</v>
      </c>
      <c r="E130" s="101">
        <f>D130/D107*100</f>
        <v>0.12836489433853632</v>
      </c>
      <c r="F130" s="89">
        <f t="shared" si="15"/>
        <v>73.3385370205174</v>
      </c>
      <c r="G130" s="89">
        <f t="shared" si="12"/>
        <v>69.81953290870489</v>
      </c>
      <c r="H130" s="90">
        <f t="shared" si="16"/>
        <v>239.0999999999999</v>
      </c>
      <c r="I130" s="90">
        <f t="shared" si="14"/>
        <v>284.29999999999995</v>
      </c>
      <c r="K130" s="153"/>
      <c r="L130" s="91"/>
      <c r="Q130" s="91"/>
    </row>
    <row r="131" spans="1:17" s="103" customFormat="1" ht="18.75">
      <c r="A131" s="92" t="s">
        <v>88</v>
      </c>
      <c r="B131" s="93">
        <v>496.9</v>
      </c>
      <c r="C131" s="94">
        <v>510.8</v>
      </c>
      <c r="D131" s="95">
        <f>7+7.1+7+7.1+7+7+7.4+7.4+7.4+46+7.3+150.5+7.4+7.7</f>
        <v>283.29999999999995</v>
      </c>
      <c r="E131" s="96">
        <f>D131/D130*100</f>
        <v>43.07435000760224</v>
      </c>
      <c r="F131" s="96">
        <f>D131/B131*100</f>
        <v>57.01348359830951</v>
      </c>
      <c r="G131" s="96">
        <f t="shared" si="12"/>
        <v>55.462020360219256</v>
      </c>
      <c r="H131" s="94">
        <f t="shared" si="16"/>
        <v>213.60000000000002</v>
      </c>
      <c r="I131" s="94">
        <f t="shared" si="14"/>
        <v>227.50000000000006</v>
      </c>
      <c r="K131" s="153"/>
      <c r="L131" s="91"/>
      <c r="Q131" s="135"/>
    </row>
    <row r="132" spans="1:12" s="102" customFormat="1" ht="37.5">
      <c r="A132" s="97" t="s">
        <v>103</v>
      </c>
      <c r="B132" s="142">
        <f>395+45</f>
        <v>440</v>
      </c>
      <c r="C132" s="98">
        <v>485</v>
      </c>
      <c r="D132" s="99">
        <f>25+30+160</f>
        <v>215</v>
      </c>
      <c r="E132" s="101">
        <f>D132/D107*100</f>
        <v>0.04196206824203331</v>
      </c>
      <c r="F132" s="89">
        <f t="shared" si="15"/>
        <v>48.86363636363637</v>
      </c>
      <c r="G132" s="89">
        <f t="shared" si="12"/>
        <v>44.329896907216494</v>
      </c>
      <c r="H132" s="90">
        <f t="shared" si="16"/>
        <v>225</v>
      </c>
      <c r="I132" s="90">
        <f t="shared" si="14"/>
        <v>270</v>
      </c>
      <c r="K132" s="153"/>
      <c r="L132" s="91"/>
    </row>
    <row r="133" spans="1:12" s="103" customFormat="1" ht="18.75" hidden="1">
      <c r="A133" s="100" t="s">
        <v>43</v>
      </c>
      <c r="B133" s="139"/>
      <c r="C133" s="94"/>
      <c r="D133" s="95"/>
      <c r="E133" s="96"/>
      <c r="F133" s="96" t="e">
        <f>D133/B133*100</f>
        <v>#DIV/0!</v>
      </c>
      <c r="G133" s="96" t="e">
        <f t="shared" si="12"/>
        <v>#DIV/0!</v>
      </c>
      <c r="H133" s="94">
        <f t="shared" si="16"/>
        <v>0</v>
      </c>
      <c r="I133" s="94">
        <f t="shared" si="14"/>
        <v>0</v>
      </c>
      <c r="K133" s="153"/>
      <c r="L133" s="91"/>
    </row>
    <row r="134" spans="1:12" s="102" customFormat="1" ht="35.25" customHeight="1" hidden="1">
      <c r="A134" s="97" t="s">
        <v>102</v>
      </c>
      <c r="B134" s="140"/>
      <c r="C134" s="98"/>
      <c r="D134" s="99"/>
      <c r="E134" s="101">
        <f>D134/D107*100</f>
        <v>0</v>
      </c>
      <c r="F134" s="89" t="e">
        <f t="shared" si="15"/>
        <v>#DIV/0!</v>
      </c>
      <c r="G134" s="89" t="e">
        <f t="shared" si="12"/>
        <v>#DIV/0!</v>
      </c>
      <c r="H134" s="90">
        <f t="shared" si="16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40"/>
      <c r="C135" s="98"/>
      <c r="D135" s="99"/>
      <c r="E135" s="101">
        <f>D135/D107*100</f>
        <v>0</v>
      </c>
      <c r="F135" s="89" t="e">
        <f t="shared" si="15"/>
        <v>#DIV/0!</v>
      </c>
      <c r="G135" s="89" t="e">
        <f t="shared" si="12"/>
        <v>#DIV/0!</v>
      </c>
      <c r="H135" s="90">
        <f t="shared" si="16"/>
        <v>0</v>
      </c>
      <c r="I135" s="90">
        <f t="shared" si="14"/>
        <v>0</v>
      </c>
      <c r="K135" s="153"/>
      <c r="L135" s="91"/>
    </row>
    <row r="136" spans="1:12" s="102" customFormat="1" ht="35.25" customHeight="1">
      <c r="A136" s="97" t="s">
        <v>87</v>
      </c>
      <c r="B136" s="142">
        <f>315+35</f>
        <v>350</v>
      </c>
      <c r="C136" s="98">
        <f>383.2+1100</f>
        <v>1483.2</v>
      </c>
      <c r="D136" s="99">
        <f>2.9+1.5+9.7+8.2+0.2-0.4+16+13.6+102.3+20.9+65+5.6+39.4+51.1+16.3</f>
        <v>352.3</v>
      </c>
      <c r="E136" s="101">
        <f>D136/D107*100</f>
        <v>0.0687592401938062</v>
      </c>
      <c r="F136" s="89">
        <f t="shared" si="15"/>
        <v>100.65714285714287</v>
      </c>
      <c r="G136" s="89">
        <f t="shared" si="12"/>
        <v>23.752696871628913</v>
      </c>
      <c r="H136" s="90">
        <f t="shared" si="16"/>
        <v>-2.3000000000000114</v>
      </c>
      <c r="I136" s="90">
        <f t="shared" si="14"/>
        <v>1130.9</v>
      </c>
      <c r="K136" s="153"/>
      <c r="L136" s="91"/>
    </row>
    <row r="137" spans="1:12" s="102" customFormat="1" ht="39" customHeight="1">
      <c r="A137" s="97" t="s">
        <v>54</v>
      </c>
      <c r="B137" s="142">
        <f>280+40</f>
        <v>320</v>
      </c>
      <c r="C137" s="98">
        <v>350</v>
      </c>
      <c r="D137" s="99">
        <f>3.7+1.9+30+0.6+12.1+11.2+3.6+6+7.1+2.2+29.2+3.8+54.6+2.4+2.8+39.6</f>
        <v>210.8</v>
      </c>
      <c r="E137" s="101">
        <f>D137/D107*100</f>
        <v>0.04114234411823545</v>
      </c>
      <c r="F137" s="89">
        <f t="shared" si="15"/>
        <v>65.875</v>
      </c>
      <c r="G137" s="89">
        <f t="shared" si="12"/>
        <v>60.22857142857143</v>
      </c>
      <c r="H137" s="90">
        <f t="shared" si="16"/>
        <v>109.19999999999999</v>
      </c>
      <c r="I137" s="90">
        <f t="shared" si="14"/>
        <v>139.2</v>
      </c>
      <c r="K137" s="153"/>
      <c r="L137" s="91"/>
    </row>
    <row r="138" spans="1:12" s="103" customFormat="1" ht="18.75">
      <c r="A138" s="92" t="s">
        <v>88</v>
      </c>
      <c r="B138" s="93">
        <f>86+12</f>
        <v>98</v>
      </c>
      <c r="C138" s="94">
        <v>110</v>
      </c>
      <c r="D138" s="95">
        <f>3.7+1.9+12.1+11.1+3.6+6+7.1+2.2+3.8+2.4+2.8</f>
        <v>56.699999999999996</v>
      </c>
      <c r="E138" s="96"/>
      <c r="F138" s="89">
        <f>D138/B138*100</f>
        <v>57.857142857142854</v>
      </c>
      <c r="G138" s="96">
        <f>D138/C138*100</f>
        <v>51.54545454545454</v>
      </c>
      <c r="H138" s="94">
        <f>B138-D138</f>
        <v>41.300000000000004</v>
      </c>
      <c r="I138" s="94">
        <f>C138-D138</f>
        <v>53.300000000000004</v>
      </c>
      <c r="K138" s="153"/>
      <c r="L138" s="91"/>
    </row>
    <row r="139" spans="1:12" s="102" customFormat="1" ht="32.25" customHeight="1">
      <c r="A139" s="97" t="s">
        <v>84</v>
      </c>
      <c r="B139" s="142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76+0.3+41+44+1.8+16.3+2.4+30+0.6+0.2+27.4+0.2+4.5-0.2+31.4+4.5+7.9+26.6+4.5+0.5+26.6+0.3+4.3+1.1+0.3+24+0.5+4.2+38.1+0.8+4.8+0.8+29.1+14.9+4.2+0.6+6+56.4+20.2+0.3+0.5+1.2</f>
        <v>559.1000000000003</v>
      </c>
      <c r="E139" s="101">
        <f>D139/D107*100</f>
        <v>0.10912089467032945</v>
      </c>
      <c r="F139" s="89">
        <f>D139/B139*100</f>
        <v>100.37701974865354</v>
      </c>
      <c r="G139" s="89">
        <f>D139/C139*100</f>
        <v>92.00263287806487</v>
      </c>
      <c r="H139" s="90">
        <f t="shared" si="16"/>
        <v>-2.10000000000025</v>
      </c>
      <c r="I139" s="90">
        <f t="shared" si="14"/>
        <v>48.599999999999795</v>
      </c>
      <c r="K139" s="153"/>
      <c r="L139" s="91"/>
    </row>
    <row r="140" spans="1:12" s="103" customFormat="1" ht="18.7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76+37.6+44+1.2+0.7+30+27.4+30.6+0.6+26+0.5+26+0.3+24+24+0.5+0.8+24+14.9+0.7+55.8+20.2</f>
        <v>465.79999999999995</v>
      </c>
      <c r="E140" s="96">
        <f>D140/D139*100</f>
        <v>83.3124664639599</v>
      </c>
      <c r="F140" s="96">
        <f t="shared" si="15"/>
        <v>103.9500111582236</v>
      </c>
      <c r="G140" s="96">
        <f>D140/C140*100</f>
        <v>95.13888888888887</v>
      </c>
      <c r="H140" s="94">
        <f t="shared" si="16"/>
        <v>-17.699999999999932</v>
      </c>
      <c r="I140" s="94">
        <f t="shared" si="14"/>
        <v>23.800000000000068</v>
      </c>
      <c r="K140" s="153"/>
      <c r="L140" s="91"/>
    </row>
    <row r="141" spans="1:12" s="102" customFormat="1" ht="18.75">
      <c r="A141" s="97" t="s">
        <v>96</v>
      </c>
      <c r="B141" s="142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107.3+0.4+30.4+78.2+4.1+36.9+117.9+50.5+112.6+5.2+52.3+10.5+76.8-0.2+10.4+82.9+84+50.5+35.7+3.4+90.4+1.3+74.9+86.3+10.5+56.2+19.4+57.2+47.6+4.6+22+60.6+12.7+0.3+40.5+65.1+52.3+8.1+85.4</f>
        <v>1745.1999999999998</v>
      </c>
      <c r="E141" s="101">
        <f>D141/D107*100</f>
        <v>0.3406148906790536</v>
      </c>
      <c r="F141" s="89">
        <f t="shared" si="15"/>
        <v>106.79884951961323</v>
      </c>
      <c r="G141" s="89">
        <f t="shared" si="12"/>
        <v>99.15909090909089</v>
      </c>
      <c r="H141" s="90">
        <f t="shared" si="16"/>
        <v>-111.09999999999968</v>
      </c>
      <c r="I141" s="90">
        <f t="shared" si="14"/>
        <v>14.800000000000182</v>
      </c>
      <c r="J141" s="144"/>
      <c r="K141" s="153"/>
      <c r="L141" s="91"/>
    </row>
    <row r="142" spans="1:12" s="103" customFormat="1" ht="18.7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107.3+25.4+76+34+76.6+47.2+83.8+4.5+35.4+76.8-0.2+60.7+81+50.4+90.4+52.9+85+10.5+37.7+14.2+56.6+47.6+60.4+11.7+38.4+60.6+33.6+78.7</f>
        <v>1437.1999999999998</v>
      </c>
      <c r="E142" s="96">
        <f>D142/D141*100</f>
        <v>82.35159294063718</v>
      </c>
      <c r="F142" s="96">
        <f aca="true" t="shared" si="17" ref="F142:F151">D142/B142*100</f>
        <v>108.19844914552435</v>
      </c>
      <c r="G142" s="96">
        <f t="shared" si="12"/>
        <v>99.98608598859049</v>
      </c>
      <c r="H142" s="94">
        <f t="shared" si="16"/>
        <v>-108.89999999999986</v>
      </c>
      <c r="I142" s="94">
        <f t="shared" si="14"/>
        <v>0.20000000000027285</v>
      </c>
      <c r="J142" s="145"/>
      <c r="K142" s="153"/>
      <c r="L142" s="91"/>
    </row>
    <row r="143" spans="1:13" s="103" customFormat="1" ht="18.7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0.4+4.9+0.7+4.7+3.3+0.4+0.7+0.6+0.1+0.1+3.9+1+1.1+1.9+5.5</f>
        <v>29.299999999999997</v>
      </c>
      <c r="E143" s="96">
        <f>D143/D141*100</f>
        <v>1.6788906715562684</v>
      </c>
      <c r="F143" s="96">
        <f t="shared" si="17"/>
        <v>83.47578347578346</v>
      </c>
      <c r="G143" s="96">
        <f>D143/C143*100</f>
        <v>73.25</v>
      </c>
      <c r="H143" s="94">
        <f t="shared" si="16"/>
        <v>5.800000000000004</v>
      </c>
      <c r="I143" s="94">
        <f t="shared" si="14"/>
        <v>10.700000000000003</v>
      </c>
      <c r="J143" s="145"/>
      <c r="K143" s="153"/>
      <c r="L143" s="91"/>
      <c r="M143" s="135"/>
    </row>
    <row r="144" spans="1:12" s="102" customFormat="1" ht="33.75" customHeight="1">
      <c r="A144" s="105" t="s">
        <v>56</v>
      </c>
      <c r="B144" s="142">
        <f>90+7.5+527</f>
        <v>624.5</v>
      </c>
      <c r="C144" s="98">
        <f>90+534.5+411.5</f>
        <v>1036</v>
      </c>
      <c r="D144" s="99">
        <f>7.5+527+90+411.5</f>
        <v>1036</v>
      </c>
      <c r="E144" s="101">
        <f>D144/D107*100</f>
        <v>0.2021986172034721</v>
      </c>
      <c r="F144" s="89">
        <f t="shared" si="17"/>
        <v>165.89271417133708</v>
      </c>
      <c r="G144" s="89">
        <f t="shared" si="12"/>
        <v>100</v>
      </c>
      <c r="H144" s="90">
        <f t="shared" si="16"/>
        <v>-411.5</v>
      </c>
      <c r="I144" s="90">
        <f t="shared" si="14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40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2"/>
        <v>#DIV/0!</v>
      </c>
      <c r="H145" s="90">
        <f t="shared" si="16"/>
        <v>0</v>
      </c>
      <c r="I145" s="90">
        <f t="shared" si="14"/>
        <v>0</v>
      </c>
      <c r="J145" s="144"/>
      <c r="K145" s="153"/>
      <c r="L145" s="91"/>
    </row>
    <row r="146" spans="1:12" s="102" customFormat="1" ht="18.75">
      <c r="A146" s="105" t="s">
        <v>97</v>
      </c>
      <c r="B146" s="142">
        <f>63378.3+215.3+2857.1+1855.9+14000+1552.3</f>
        <v>83858.90000000001</v>
      </c>
      <c r="C146" s="98">
        <f>56447.1-100+1500-3000+10865.4+0.1+56196.1-25136.7</f>
        <v>96772.00000000001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+138.1+651.7</f>
        <v>71190.40000000001</v>
      </c>
      <c r="E146" s="101">
        <f>D146/D107*100</f>
        <v>13.894401967337899</v>
      </c>
      <c r="F146" s="89">
        <f t="shared" si="17"/>
        <v>84.89307634610041</v>
      </c>
      <c r="G146" s="89">
        <f t="shared" si="12"/>
        <v>73.56508080849832</v>
      </c>
      <c r="H146" s="90">
        <f t="shared" si="16"/>
        <v>12668.5</v>
      </c>
      <c r="I146" s="90">
        <f t="shared" si="14"/>
        <v>25581.600000000006</v>
      </c>
      <c r="J146" s="144"/>
      <c r="K146" s="153"/>
      <c r="L146" s="91"/>
    </row>
    <row r="147" spans="1:12" s="102" customFormat="1" ht="18.75" hidden="1">
      <c r="A147" s="105" t="s">
        <v>86</v>
      </c>
      <c r="B147" s="140"/>
      <c r="C147" s="98"/>
      <c r="D147" s="99"/>
      <c r="E147" s="101">
        <f>D147/D107*100</f>
        <v>0</v>
      </c>
      <c r="F147" s="89" t="e">
        <f t="shared" si="17"/>
        <v>#DIV/0!</v>
      </c>
      <c r="G147" s="89" t="e">
        <f t="shared" si="12"/>
        <v>#DIV/0!</v>
      </c>
      <c r="H147" s="90">
        <f t="shared" si="16"/>
        <v>0</v>
      </c>
      <c r="I147" s="90">
        <f t="shared" si="14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40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42">
        <v>128.19706</v>
      </c>
      <c r="C149" s="98">
        <v>162.3</v>
      </c>
      <c r="D149" s="99">
        <f>46.4+43+38.8+34.1</f>
        <v>162.29999999999998</v>
      </c>
      <c r="E149" s="101">
        <f>D149/D107*100</f>
        <v>0.03167648221247444</v>
      </c>
      <c r="F149" s="89">
        <f t="shared" si="17"/>
        <v>126.60196731500706</v>
      </c>
      <c r="G149" s="89">
        <f t="shared" si="12"/>
        <v>99.99999999999997</v>
      </c>
      <c r="H149" s="90">
        <f t="shared" si="16"/>
        <v>-34.10293999999999</v>
      </c>
      <c r="I149" s="90">
        <f t="shared" si="14"/>
        <v>0</v>
      </c>
      <c r="J149" s="144"/>
      <c r="K149" s="153"/>
      <c r="L149" s="91"/>
    </row>
    <row r="150" spans="1:12" s="102" customFormat="1" ht="18" customHeight="1">
      <c r="A150" s="97" t="s">
        <v>77</v>
      </c>
      <c r="B150" s="142">
        <f>11221.5+372</f>
        <v>11593.5</v>
      </c>
      <c r="C150" s="98">
        <v>11593.5</v>
      </c>
      <c r="D150" s="99">
        <f>791.9+575.3+777.6+830.9+722.1+47.7+657.7+821-47.6+744.9+750.8+1599.5+613.3+554.9+554.9+291.8+0.1+58.4+1064.6+139.4+44.3</f>
        <v>11593.499999999996</v>
      </c>
      <c r="E150" s="101">
        <f>D150/D107*100</f>
        <v>2.262731340297735</v>
      </c>
      <c r="F150" s="89">
        <f t="shared" si="17"/>
        <v>99.99999999999997</v>
      </c>
      <c r="G150" s="89">
        <f t="shared" si="12"/>
        <v>99.99999999999997</v>
      </c>
      <c r="H150" s="90">
        <f t="shared" si="16"/>
        <v>0</v>
      </c>
      <c r="I150" s="90">
        <f t="shared" si="14"/>
        <v>0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f>289360.2-1612.3-1000-1425.5-646.6-194.6+6232.7+2434+27883.6-1642.3-2049.5+567</f>
        <v>317906.70000000007</v>
      </c>
      <c r="C151" s="98">
        <f>322609.9+35086.9</f>
        <v>357696.80000000005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+10351.3+3.1+561.9+2491+301.2</f>
        <v>318973.30000000005</v>
      </c>
      <c r="E151" s="101">
        <f>D151/D107*100</f>
        <v>62.254787823193325</v>
      </c>
      <c r="F151" s="89">
        <f t="shared" si="17"/>
        <v>100.33550724159007</v>
      </c>
      <c r="G151" s="89">
        <f t="shared" si="12"/>
        <v>89.17421123141163</v>
      </c>
      <c r="H151" s="90">
        <f t="shared" si="16"/>
        <v>-1066.5999999999767</v>
      </c>
      <c r="I151" s="90">
        <f>C151-D151</f>
        <v>38723.5</v>
      </c>
      <c r="K151" s="153"/>
      <c r="L151" s="91"/>
    </row>
    <row r="152" spans="1:12" s="102" customFormat="1" ht="18.75">
      <c r="A152" s="97" t="s">
        <v>99</v>
      </c>
      <c r="B152" s="142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819+819+819.1+1062.3+1173.1+1173.1+1173.2+1173.1+1173.1+1173.2+1173.1+1173.1+1173.2+1173.1+1173.1+1173.1+1173.1+1173.1+1173.1+1173.1+1173.1+1173.1+1173.1+1173.1+1173.1+1173.1+1173.1+1173.1+1173.1+1173.1+1173.1+1173.1+1173.1+1173.1+1173.1+1173.1</f>
        <v>41058.89999999997</v>
      </c>
      <c r="E152" s="101">
        <f>D152/D107*100</f>
        <v>8.013564482524744</v>
      </c>
      <c r="F152" s="89">
        <f t="shared" si="15"/>
        <v>106.06054343923303</v>
      </c>
      <c r="G152" s="89">
        <f t="shared" si="12"/>
        <v>97.22224853191885</v>
      </c>
      <c r="H152" s="90">
        <f t="shared" si="16"/>
        <v>-2346.199999999968</v>
      </c>
      <c r="I152" s="90">
        <f t="shared" si="14"/>
        <v>1173.1000000000276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524754.3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1957747.0550600004</v>
      </c>
      <c r="C154" s="37">
        <f>C6+C18+C33+C43+C51+C59+C69+C72+C77+C79+C87+C90+C95+C102+C107+C100+C84+C98+C45</f>
        <v>2209733.3</v>
      </c>
      <c r="D154" s="37">
        <f>D6+D18+D33+D43+D51+D59+D69+D72+D77+D79+D87+D90+D95+D102+D107+D100+D84+D98+D45</f>
        <v>1972855.7</v>
      </c>
      <c r="E154" s="25">
        <v>100</v>
      </c>
      <c r="F154" s="3">
        <f>D154/B154*100</f>
        <v>100.77173631297003</v>
      </c>
      <c r="G154" s="3">
        <f aca="true" t="shared" si="18" ref="G154:G160">D154/C154*100</f>
        <v>89.28026291679635</v>
      </c>
      <c r="H154" s="37">
        <f aca="true" t="shared" si="19" ref="H154:H160">B154-D154</f>
        <v>-15108.644939999562</v>
      </c>
      <c r="I154" s="37">
        <f aca="true" t="shared" si="20" ref="I154:I160">C154-D154</f>
        <v>236877.59999999986</v>
      </c>
      <c r="K154" s="172"/>
      <c r="L154" s="157"/>
    </row>
    <row r="155" spans="1:12" ht="18.75">
      <c r="A155" s="15" t="s">
        <v>5</v>
      </c>
      <c r="B155" s="48">
        <f>B8+B20+B34+B52+B60+B91+B115+B120+B46+B142+B133+B103</f>
        <v>827128.6000000001</v>
      </c>
      <c r="C155" s="48">
        <f>C8+C20+C34+C52+C60+C91+C115+C120+C46+C142+C133+C103</f>
        <v>895443.4000000001</v>
      </c>
      <c r="D155" s="48">
        <f>D8+D20+D34+D52+D60+D91+D115+D120+D46+D142+D133+D103</f>
        <v>842706.31</v>
      </c>
      <c r="E155" s="6">
        <f>D155/D154*100</f>
        <v>42.715050573643076</v>
      </c>
      <c r="F155" s="6">
        <f aca="true" t="shared" si="21" ref="F155:F160">D155/B155*100</f>
        <v>101.88334800658568</v>
      </c>
      <c r="G155" s="6">
        <f t="shared" si="18"/>
        <v>94.11050547695142</v>
      </c>
      <c r="H155" s="49">
        <f t="shared" si="19"/>
        <v>-15577.709999999963</v>
      </c>
      <c r="I155" s="59">
        <f t="shared" si="20"/>
        <v>52737.090000000084</v>
      </c>
      <c r="K155" s="153"/>
      <c r="L155" s="157"/>
    </row>
    <row r="156" spans="1:12" ht="18.75">
      <c r="A156" s="15" t="s">
        <v>0</v>
      </c>
      <c r="B156" s="49">
        <f>B11+B23+B36+B55+B62+B92+B49+B143+B109+B112+B96+B140+B129</f>
        <v>93303.70000000003</v>
      </c>
      <c r="C156" s="49">
        <f>C11+C23+C36+C55+C62+C92+C49+C143+C109+C112+C96+C140+C129</f>
        <v>110092.19999999998</v>
      </c>
      <c r="D156" s="49">
        <f>D11+D23+D36+D55+D62+D92+D49+D143+D109+D112+D96+D140+D129</f>
        <v>94055.59999999999</v>
      </c>
      <c r="E156" s="6">
        <f>D156/D154*100</f>
        <v>4.767485021839154</v>
      </c>
      <c r="F156" s="6">
        <f t="shared" si="21"/>
        <v>100.80586300436099</v>
      </c>
      <c r="G156" s="6">
        <f t="shared" si="18"/>
        <v>85.43348211771588</v>
      </c>
      <c r="H156" s="49">
        <f>B156-D156</f>
        <v>-751.8999999999651</v>
      </c>
      <c r="I156" s="59">
        <f t="shared" si="20"/>
        <v>16036.599999999991</v>
      </c>
      <c r="K156" s="153"/>
      <c r="L156" s="158"/>
    </row>
    <row r="157" spans="1:12" ht="18.75">
      <c r="A157" s="15" t="s">
        <v>1</v>
      </c>
      <c r="B157" s="48">
        <f>B22+B10+B54+B48+B61+B35+B124</f>
        <v>37772.6</v>
      </c>
      <c r="C157" s="48">
        <f>C22+C10+C54+C48+C61+C35+C124</f>
        <v>42614.700000000004</v>
      </c>
      <c r="D157" s="48">
        <f>D22+D10+D54+D48+D61+D35+D124</f>
        <v>35446.2</v>
      </c>
      <c r="E157" s="6">
        <f>D157/D154*100</f>
        <v>1.7966950142374833</v>
      </c>
      <c r="F157" s="6">
        <f t="shared" si="21"/>
        <v>93.84103821288447</v>
      </c>
      <c r="G157" s="6">
        <f t="shared" si="18"/>
        <v>83.17833986863687</v>
      </c>
      <c r="H157" s="49">
        <f t="shared" si="19"/>
        <v>2326.4000000000015</v>
      </c>
      <c r="I157" s="59">
        <f t="shared" si="20"/>
        <v>7168.500000000007</v>
      </c>
      <c r="K157" s="153"/>
      <c r="L157" s="157"/>
    </row>
    <row r="158" spans="1:12" ht="21" customHeight="1">
      <c r="A158" s="15" t="s">
        <v>14</v>
      </c>
      <c r="B158" s="48">
        <f>B12+B24+B104+B63+B38+B93+B131+B56+B138+B118</f>
        <v>27784.200000000004</v>
      </c>
      <c r="C158" s="48">
        <f>C12+C24+C104+C63+C38+C93+C131+C56+C138+C118</f>
        <v>29134.999999999996</v>
      </c>
      <c r="D158" s="48">
        <f>D12+D24+D104+D63+D38+D93+D131+D56+D138+D118</f>
        <v>26848.199999999997</v>
      </c>
      <c r="E158" s="6">
        <f>D158/D154*100</f>
        <v>1.3608800684206148</v>
      </c>
      <c r="F158" s="6">
        <f t="shared" si="21"/>
        <v>96.6311788714449</v>
      </c>
      <c r="G158" s="6">
        <f t="shared" si="18"/>
        <v>92.15102110863224</v>
      </c>
      <c r="H158" s="49">
        <f>B158-D158</f>
        <v>936.0000000000073</v>
      </c>
      <c r="I158" s="59">
        <f t="shared" si="20"/>
        <v>2286.7999999999993</v>
      </c>
      <c r="K158" s="153"/>
      <c r="L158" s="158"/>
    </row>
    <row r="159" spans="1:12" ht="18.75">
      <c r="A159" s="15" t="s">
        <v>2</v>
      </c>
      <c r="B159" s="48">
        <f>B9+B21+B47+B53+B123</f>
        <v>114.5</v>
      </c>
      <c r="C159" s="48">
        <f>C9+C21+C47+C53+C123</f>
        <v>114.48435</v>
      </c>
      <c r="D159" s="48">
        <f>D9+D21+D47+D53+D123</f>
        <v>101.89999999999998</v>
      </c>
      <c r="E159" s="6">
        <f>D159/D154*100</f>
        <v>0.005165101532767955</v>
      </c>
      <c r="F159" s="6">
        <f t="shared" si="21"/>
        <v>88.99563318777291</v>
      </c>
      <c r="G159" s="6">
        <f t="shared" si="18"/>
        <v>89.00779888255467</v>
      </c>
      <c r="H159" s="49">
        <f t="shared" si="19"/>
        <v>12.600000000000023</v>
      </c>
      <c r="I159" s="59">
        <f t="shared" si="20"/>
        <v>12.584350000000029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971643.4550600003</v>
      </c>
      <c r="C160" s="61">
        <f>C154-C155-C156-C157-C158-C159</f>
        <v>1132333.5156499997</v>
      </c>
      <c r="D160" s="61">
        <f>D154-D155-D156-D157-D158-D159</f>
        <v>973697.49</v>
      </c>
      <c r="E160" s="28">
        <f>D160/D154*100</f>
        <v>49.354724220326915</v>
      </c>
      <c r="F160" s="28">
        <f t="shared" si="21"/>
        <v>100.21139801120493</v>
      </c>
      <c r="G160" s="28">
        <f t="shared" si="18"/>
        <v>85.99034441200506</v>
      </c>
      <c r="H160" s="82">
        <f t="shared" si="19"/>
        <v>-2054.034939999692</v>
      </c>
      <c r="I160" s="82">
        <f t="shared" si="20"/>
        <v>158636.02564999973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7:11" ht="12.75"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2209733.3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1972855.7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2209733.3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1972855.7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2018-12-20T07:41:55Z</cp:lastPrinted>
  <dcterms:created xsi:type="dcterms:W3CDTF">2000-06-20T04:48:00Z</dcterms:created>
  <dcterms:modified xsi:type="dcterms:W3CDTF">2018-12-21T14:51:14Z</dcterms:modified>
  <cp:category/>
  <cp:version/>
  <cp:contentType/>
  <cp:contentStatus/>
</cp:coreProperties>
</file>